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amuckenhirn\Documents\_Help Center\_ARTICLES\RTD Error Budget\"/>
    </mc:Choice>
  </mc:AlternateContent>
  <xr:revisionPtr revIDLastSave="0" documentId="13_ncr:1_{7B292BDE-5B9E-4304-B524-722929A72475}" xr6:coauthVersionLast="47" xr6:coauthVersionMax="47" xr10:uidLastSave="{00000000-0000-0000-0000-000000000000}"/>
  <bookViews>
    <workbookView xWindow="-28920" yWindow="-240" windowWidth="29040" windowHeight="15840" tabRatio="841" xr2:uid="{B3D86314-A8EF-4C8B-8FDC-5B2C2A9BF11B}"/>
  </bookViews>
  <sheets>
    <sheet name="RTD Data" sheetId="1" r:id="rId1"/>
    <sheet name="RTD Resistance @ Temperature" sheetId="3" r:id="rId2"/>
    <sheet name="PT100 Tables" sheetId="7" r:id="rId3"/>
    <sheet name="PT500 Tables" sheetId="9" r:id="rId4"/>
    <sheet name="PT1000 Tables" sheetId="10" r:id="rId5"/>
    <sheet name="PT-CUSTOM Tables" sheetId="11" r:id="rId6"/>
    <sheet name="STD Vals" sheetId="5" state="hidden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3" l="1"/>
  <c r="D6" i="11"/>
  <c r="D4" i="11"/>
  <c r="J2" i="11"/>
  <c r="J3" i="1"/>
  <c r="J2" i="7"/>
  <c r="J2" i="9"/>
  <c r="J2" i="10"/>
  <c r="B14" i="10"/>
  <c r="B15" i="10"/>
  <c r="B18" i="10"/>
  <c r="B30" i="10"/>
  <c r="B39" i="10"/>
  <c r="B42" i="10"/>
  <c r="B63" i="10"/>
  <c r="B13" i="9"/>
  <c r="B34" i="9"/>
  <c r="B58" i="9"/>
  <c r="B61" i="9"/>
  <c r="L4" i="3"/>
  <c r="B13" i="10" s="1"/>
  <c r="L5" i="3"/>
  <c r="L6" i="3"/>
  <c r="L7" i="3"/>
  <c r="B16" i="10" s="1"/>
  <c r="L8" i="3"/>
  <c r="B17" i="10" s="1"/>
  <c r="L9" i="3"/>
  <c r="L10" i="3"/>
  <c r="B19" i="10" s="1"/>
  <c r="L11" i="3"/>
  <c r="B20" i="10" s="1"/>
  <c r="L12" i="3"/>
  <c r="B21" i="10" s="1"/>
  <c r="L13" i="3"/>
  <c r="B22" i="10" s="1"/>
  <c r="L14" i="3"/>
  <c r="B23" i="10" s="1"/>
  <c r="L15" i="3"/>
  <c r="B24" i="10" s="1"/>
  <c r="L16" i="3"/>
  <c r="B25" i="10" s="1"/>
  <c r="L17" i="3"/>
  <c r="B26" i="10" s="1"/>
  <c r="L18" i="3"/>
  <c r="B27" i="10" s="1"/>
  <c r="L19" i="3"/>
  <c r="B28" i="10" s="1"/>
  <c r="L20" i="3"/>
  <c r="B29" i="10" s="1"/>
  <c r="L21" i="3"/>
  <c r="L22" i="3"/>
  <c r="B31" i="10" s="1"/>
  <c r="L24" i="3"/>
  <c r="B33" i="10" s="1"/>
  <c r="L25" i="3"/>
  <c r="B34" i="10" s="1"/>
  <c r="L26" i="3"/>
  <c r="B35" i="10" s="1"/>
  <c r="L27" i="3"/>
  <c r="B36" i="10" s="1"/>
  <c r="L28" i="3"/>
  <c r="B37" i="10" s="1"/>
  <c r="L29" i="3"/>
  <c r="B38" i="10" s="1"/>
  <c r="L30" i="3"/>
  <c r="L31" i="3"/>
  <c r="B40" i="10" s="1"/>
  <c r="L32" i="3"/>
  <c r="B41" i="10" s="1"/>
  <c r="L33" i="3"/>
  <c r="L34" i="3"/>
  <c r="B43" i="10" s="1"/>
  <c r="L35" i="3"/>
  <c r="B44" i="10" s="1"/>
  <c r="L36" i="3"/>
  <c r="B45" i="10" s="1"/>
  <c r="L37" i="3"/>
  <c r="B46" i="10" s="1"/>
  <c r="L38" i="3"/>
  <c r="B47" i="10" s="1"/>
  <c r="L39" i="3"/>
  <c r="B48" i="10" s="1"/>
  <c r="L40" i="3"/>
  <c r="B49" i="10" s="1"/>
  <c r="L41" i="3"/>
  <c r="B50" i="10" s="1"/>
  <c r="L42" i="3"/>
  <c r="B51" i="10" s="1"/>
  <c r="L43" i="3"/>
  <c r="B52" i="10" s="1"/>
  <c r="L44" i="3"/>
  <c r="B53" i="10" s="1"/>
  <c r="L45" i="3"/>
  <c r="B54" i="10" s="1"/>
  <c r="L46" i="3"/>
  <c r="B55" i="10" s="1"/>
  <c r="L47" i="3"/>
  <c r="B56" i="10" s="1"/>
  <c r="L48" i="3"/>
  <c r="B57" i="10" s="1"/>
  <c r="L49" i="3"/>
  <c r="B58" i="10" s="1"/>
  <c r="L50" i="3"/>
  <c r="B59" i="10" s="1"/>
  <c r="L51" i="3"/>
  <c r="B60" i="10" s="1"/>
  <c r="L52" i="3"/>
  <c r="B61" i="10" s="1"/>
  <c r="L53" i="3"/>
  <c r="B62" i="10" s="1"/>
  <c r="L54" i="3"/>
  <c r="L55" i="3"/>
  <c r="B64" i="10" s="1"/>
  <c r="L3" i="3"/>
  <c r="B12" i="10" s="1"/>
  <c r="G4" i="3"/>
  <c r="G5" i="3"/>
  <c r="B14" i="9" s="1"/>
  <c r="G6" i="3"/>
  <c r="B15" i="9" s="1"/>
  <c r="G7" i="3"/>
  <c r="B16" i="9" s="1"/>
  <c r="G8" i="3"/>
  <c r="B17" i="9" s="1"/>
  <c r="G9" i="3"/>
  <c r="B18" i="9" s="1"/>
  <c r="G10" i="3"/>
  <c r="B19" i="9" s="1"/>
  <c r="G11" i="3"/>
  <c r="B20" i="9" s="1"/>
  <c r="G12" i="3"/>
  <c r="B21" i="9" s="1"/>
  <c r="G13" i="3"/>
  <c r="B22" i="9" s="1"/>
  <c r="G14" i="3"/>
  <c r="B23" i="9" s="1"/>
  <c r="G15" i="3"/>
  <c r="B24" i="9" s="1"/>
  <c r="G16" i="3"/>
  <c r="B25" i="9" s="1"/>
  <c r="G17" i="3"/>
  <c r="B26" i="9" s="1"/>
  <c r="G18" i="3"/>
  <c r="B27" i="9" s="1"/>
  <c r="G19" i="3"/>
  <c r="B28" i="9" s="1"/>
  <c r="G20" i="3"/>
  <c r="B29" i="9" s="1"/>
  <c r="G21" i="3"/>
  <c r="B30" i="9" s="1"/>
  <c r="G22" i="3"/>
  <c r="B31" i="9" s="1"/>
  <c r="G24" i="3"/>
  <c r="B33" i="9" s="1"/>
  <c r="G25" i="3"/>
  <c r="G26" i="3"/>
  <c r="B35" i="9" s="1"/>
  <c r="G27" i="3"/>
  <c r="B36" i="9" s="1"/>
  <c r="G28" i="3"/>
  <c r="B37" i="9" s="1"/>
  <c r="G29" i="3"/>
  <c r="B38" i="9" s="1"/>
  <c r="G30" i="3"/>
  <c r="B39" i="9" s="1"/>
  <c r="G31" i="3"/>
  <c r="B40" i="9" s="1"/>
  <c r="G32" i="3"/>
  <c r="B41" i="9" s="1"/>
  <c r="G33" i="3"/>
  <c r="B42" i="9" s="1"/>
  <c r="G34" i="3"/>
  <c r="B43" i="9" s="1"/>
  <c r="G35" i="3"/>
  <c r="B44" i="9" s="1"/>
  <c r="G36" i="3"/>
  <c r="B45" i="9" s="1"/>
  <c r="G37" i="3"/>
  <c r="B46" i="9" s="1"/>
  <c r="G38" i="3"/>
  <c r="B47" i="9" s="1"/>
  <c r="G39" i="3"/>
  <c r="B48" i="9" s="1"/>
  <c r="G40" i="3"/>
  <c r="B49" i="9" s="1"/>
  <c r="G41" i="3"/>
  <c r="B50" i="9" s="1"/>
  <c r="G42" i="3"/>
  <c r="B51" i="9" s="1"/>
  <c r="G43" i="3"/>
  <c r="B52" i="9" s="1"/>
  <c r="G44" i="3"/>
  <c r="B53" i="9" s="1"/>
  <c r="G45" i="3"/>
  <c r="B54" i="9" s="1"/>
  <c r="G46" i="3"/>
  <c r="B55" i="9" s="1"/>
  <c r="G47" i="3"/>
  <c r="B56" i="9" s="1"/>
  <c r="G48" i="3"/>
  <c r="B57" i="9" s="1"/>
  <c r="G49" i="3"/>
  <c r="G50" i="3"/>
  <c r="B59" i="9" s="1"/>
  <c r="G51" i="3"/>
  <c r="B60" i="9" s="1"/>
  <c r="G52" i="3"/>
  <c r="G53" i="3"/>
  <c r="B62" i="9" s="1"/>
  <c r="G54" i="3"/>
  <c r="B63" i="9" s="1"/>
  <c r="G55" i="3"/>
  <c r="B64" i="9" s="1"/>
  <c r="G3" i="3"/>
  <c r="B12" i="9" s="1"/>
  <c r="D6" i="10"/>
  <c r="D4" i="10"/>
  <c r="J3" i="10" s="1"/>
  <c r="J5" i="10" s="1"/>
  <c r="J6" i="10" s="1"/>
  <c r="J7" i="10" s="1"/>
  <c r="D6" i="9"/>
  <c r="D4" i="9"/>
  <c r="J3" i="9" s="1"/>
  <c r="J5" i="9" s="1"/>
  <c r="J6" i="9" s="1"/>
  <c r="J7" i="9" s="1"/>
  <c r="B14" i="11" l="1"/>
  <c r="B18" i="11"/>
  <c r="B22" i="11"/>
  <c r="B26" i="11"/>
  <c r="B30" i="11"/>
  <c r="B34" i="11"/>
  <c r="B38" i="11"/>
  <c r="B42" i="11"/>
  <c r="B46" i="11"/>
  <c r="B50" i="11"/>
  <c r="B54" i="11"/>
  <c r="B58" i="11"/>
  <c r="B62" i="11"/>
  <c r="B17" i="11"/>
  <c r="B25" i="11"/>
  <c r="B37" i="11"/>
  <c r="B49" i="11"/>
  <c r="B61" i="11"/>
  <c r="B15" i="11"/>
  <c r="B19" i="11"/>
  <c r="B23" i="11"/>
  <c r="B27" i="11"/>
  <c r="B31" i="11"/>
  <c r="B35" i="11"/>
  <c r="B39" i="11"/>
  <c r="B43" i="11"/>
  <c r="B47" i="11"/>
  <c r="B51" i="11"/>
  <c r="B55" i="11"/>
  <c r="B59" i="11"/>
  <c r="B63" i="11"/>
  <c r="B13" i="11"/>
  <c r="B29" i="11"/>
  <c r="B41" i="11"/>
  <c r="B53" i="11"/>
  <c r="B12" i="11"/>
  <c r="B16" i="11"/>
  <c r="B20" i="11"/>
  <c r="B24" i="11"/>
  <c r="B28" i="11"/>
  <c r="B36" i="11"/>
  <c r="B40" i="11"/>
  <c r="B44" i="11"/>
  <c r="B48" i="11"/>
  <c r="B52" i="11"/>
  <c r="B56" i="11"/>
  <c r="B60" i="11"/>
  <c r="B64" i="11"/>
  <c r="B21" i="11"/>
  <c r="B33" i="11"/>
  <c r="B45" i="11"/>
  <c r="B57" i="11"/>
  <c r="J3" i="11"/>
  <c r="J5" i="11" s="1"/>
  <c r="J6" i="11" s="1"/>
  <c r="J7" i="11" s="1"/>
  <c r="S12" i="1"/>
  <c r="R16" i="1" s="1"/>
  <c r="S10" i="1"/>
  <c r="N12" i="1"/>
  <c r="M16" i="1" s="1"/>
  <c r="N10" i="1"/>
  <c r="S11" i="1" l="1"/>
  <c r="R15" i="1" s="1"/>
  <c r="R14" i="1"/>
  <c r="M14" i="1"/>
  <c r="N11" i="1"/>
  <c r="S4" i="1"/>
  <c r="D6" i="7"/>
  <c r="D4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12" i="7"/>
  <c r="M15" i="1" l="1"/>
  <c r="M5" i="11"/>
  <c r="M5" i="10"/>
  <c r="M5" i="9"/>
  <c r="M5" i="7"/>
  <c r="J3" i="7"/>
  <c r="J5" i="7" s="1"/>
  <c r="J6" i="7" s="1"/>
  <c r="J7" i="7" s="1"/>
  <c r="B7" i="1" s="1"/>
  <c r="L23" i="3" l="1"/>
  <c r="B32" i="10" s="1"/>
  <c r="G23" i="3"/>
  <c r="B32" i="9" s="1"/>
  <c r="B32" i="11"/>
  <c r="B32" i="7"/>
  <c r="F8" i="1"/>
  <c r="D5" i="11" s="1"/>
  <c r="C8" i="1"/>
  <c r="H4" i="1"/>
  <c r="S8" i="1" l="1"/>
  <c r="N8" i="1"/>
  <c r="C24" i="11"/>
  <c r="D24" i="11" s="1"/>
  <c r="E24" i="11" s="1"/>
  <c r="C63" i="11"/>
  <c r="D63" i="11" s="1"/>
  <c r="E63" i="11" s="1"/>
  <c r="C56" i="11"/>
  <c r="D56" i="11" s="1"/>
  <c r="E56" i="11" s="1"/>
  <c r="C52" i="11"/>
  <c r="D52" i="11" s="1"/>
  <c r="E52" i="11" s="1"/>
  <c r="C46" i="11"/>
  <c r="D46" i="11" s="1"/>
  <c r="E46" i="11" s="1"/>
  <c r="C33" i="11"/>
  <c r="D33" i="11" s="1"/>
  <c r="E33" i="11" s="1"/>
  <c r="C31" i="11"/>
  <c r="D31" i="11" s="1"/>
  <c r="E31" i="11" s="1"/>
  <c r="C40" i="11"/>
  <c r="D40" i="11" s="1"/>
  <c r="E40" i="11" s="1"/>
  <c r="C18" i="11"/>
  <c r="D18" i="11" s="1"/>
  <c r="E18" i="11" s="1"/>
  <c r="C47" i="11"/>
  <c r="D47" i="11" s="1"/>
  <c r="E47" i="11" s="1"/>
  <c r="C38" i="11"/>
  <c r="D38" i="11" s="1"/>
  <c r="E38" i="11" s="1"/>
  <c r="C30" i="11"/>
  <c r="D30" i="11" s="1"/>
  <c r="E30" i="11" s="1"/>
  <c r="C62" i="11"/>
  <c r="D62" i="11" s="1"/>
  <c r="E62" i="11" s="1"/>
  <c r="C55" i="11"/>
  <c r="D55" i="11" s="1"/>
  <c r="E55" i="11" s="1"/>
  <c r="C50" i="11"/>
  <c r="D50" i="11" s="1"/>
  <c r="E50" i="11" s="1"/>
  <c r="C43" i="11"/>
  <c r="D43" i="11" s="1"/>
  <c r="E43" i="11" s="1"/>
  <c r="C23" i="11"/>
  <c r="D23" i="11" s="1"/>
  <c r="E23" i="11" s="1"/>
  <c r="C34" i="11"/>
  <c r="D34" i="11" s="1"/>
  <c r="E34" i="11" s="1"/>
  <c r="C32" i="11"/>
  <c r="D32" i="11" s="1"/>
  <c r="C61" i="11"/>
  <c r="D61" i="11" s="1"/>
  <c r="E61" i="11" s="1"/>
  <c r="C54" i="11"/>
  <c r="D54" i="11" s="1"/>
  <c r="E54" i="11" s="1"/>
  <c r="C49" i="11"/>
  <c r="D49" i="11" s="1"/>
  <c r="E49" i="11" s="1"/>
  <c r="C39" i="11"/>
  <c r="D39" i="11" s="1"/>
  <c r="E39" i="11" s="1"/>
  <c r="C25" i="11"/>
  <c r="D25" i="11" s="1"/>
  <c r="E25" i="11" s="1"/>
  <c r="C64" i="11"/>
  <c r="D64" i="11" s="1"/>
  <c r="E64" i="11" s="1"/>
  <c r="C53" i="11"/>
  <c r="D53" i="11" s="1"/>
  <c r="E53" i="11" s="1"/>
  <c r="C27" i="11"/>
  <c r="D27" i="11" s="1"/>
  <c r="E27" i="11" s="1"/>
  <c r="C17" i="11"/>
  <c r="D17" i="11" s="1"/>
  <c r="E17" i="11" s="1"/>
  <c r="C59" i="11"/>
  <c r="D59" i="11" s="1"/>
  <c r="E59" i="11" s="1"/>
  <c r="C22" i="11"/>
  <c r="D22" i="11" s="1"/>
  <c r="E22" i="11" s="1"/>
  <c r="C60" i="11"/>
  <c r="D60" i="11" s="1"/>
  <c r="E60" i="11" s="1"/>
  <c r="C35" i="11"/>
  <c r="D35" i="11" s="1"/>
  <c r="E35" i="11" s="1"/>
  <c r="C42" i="11"/>
  <c r="D42" i="11" s="1"/>
  <c r="E42" i="11" s="1"/>
  <c r="C21" i="11"/>
  <c r="D21" i="11" s="1"/>
  <c r="E21" i="11" s="1"/>
  <c r="C45" i="11"/>
  <c r="D45" i="11" s="1"/>
  <c r="E45" i="11" s="1"/>
  <c r="C29" i="11"/>
  <c r="D29" i="11" s="1"/>
  <c r="E29" i="11" s="1"/>
  <c r="C28" i="11"/>
  <c r="D28" i="11" s="1"/>
  <c r="E28" i="11" s="1"/>
  <c r="C19" i="11"/>
  <c r="D19" i="11" s="1"/>
  <c r="E19" i="11" s="1"/>
  <c r="C26" i="11"/>
  <c r="D26" i="11" s="1"/>
  <c r="E26" i="11" s="1"/>
  <c r="C36" i="11"/>
  <c r="D36" i="11" s="1"/>
  <c r="E36" i="11" s="1"/>
  <c r="C57" i="11"/>
  <c r="D57" i="11" s="1"/>
  <c r="E57" i="11" s="1"/>
  <c r="C14" i="11"/>
  <c r="D14" i="11" s="1"/>
  <c r="E14" i="11" s="1"/>
  <c r="C13" i="11"/>
  <c r="D13" i="11" s="1"/>
  <c r="E13" i="11" s="1"/>
  <c r="C12" i="11"/>
  <c r="D12" i="11" s="1"/>
  <c r="E12" i="11" s="1"/>
  <c r="C37" i="11"/>
  <c r="D37" i="11" s="1"/>
  <c r="E37" i="11" s="1"/>
  <c r="C15" i="11"/>
  <c r="D15" i="11" s="1"/>
  <c r="E15" i="11" s="1"/>
  <c r="C20" i="11"/>
  <c r="D20" i="11" s="1"/>
  <c r="E20" i="11" s="1"/>
  <c r="C48" i="11"/>
  <c r="D48" i="11" s="1"/>
  <c r="E48" i="11" s="1"/>
  <c r="C51" i="11"/>
  <c r="D51" i="11" s="1"/>
  <c r="E51" i="11" s="1"/>
  <c r="C58" i="11"/>
  <c r="D58" i="11" s="1"/>
  <c r="E58" i="11" s="1"/>
  <c r="C44" i="11"/>
  <c r="D44" i="11" s="1"/>
  <c r="E44" i="11" s="1"/>
  <c r="C41" i="11"/>
  <c r="D41" i="11" s="1"/>
  <c r="E41" i="11" s="1"/>
  <c r="C16" i="11"/>
  <c r="D16" i="11" s="1"/>
  <c r="E16" i="11" s="1"/>
  <c r="D5" i="10"/>
  <c r="D5" i="9"/>
  <c r="D5" i="7"/>
  <c r="C34" i="7" s="1"/>
  <c r="B8" i="1"/>
  <c r="E32" i="11" l="1"/>
  <c r="F33" i="11" s="1"/>
  <c r="H33" i="11" s="1"/>
  <c r="H3" i="1"/>
  <c r="J47" i="11"/>
  <c r="G48" i="11"/>
  <c r="F48" i="11"/>
  <c r="H48" i="11" s="1"/>
  <c r="G12" i="11"/>
  <c r="J35" i="11"/>
  <c r="G36" i="11"/>
  <c r="F36" i="11"/>
  <c r="H36" i="11" s="1"/>
  <c r="F29" i="11"/>
  <c r="H29" i="11" s="1"/>
  <c r="J28" i="11"/>
  <c r="G29" i="11"/>
  <c r="F35" i="11"/>
  <c r="H35" i="11" s="1"/>
  <c r="J34" i="11"/>
  <c r="M4" i="11" s="1"/>
  <c r="G35" i="11"/>
  <c r="G17" i="11"/>
  <c r="J16" i="11"/>
  <c r="F17" i="11"/>
  <c r="H17" i="11" s="1"/>
  <c r="G25" i="11"/>
  <c r="F25" i="11"/>
  <c r="H25" i="11" s="1"/>
  <c r="J24" i="11"/>
  <c r="F61" i="11"/>
  <c r="H61" i="11" s="1"/>
  <c r="J60" i="11"/>
  <c r="G61" i="11"/>
  <c r="F43" i="11"/>
  <c r="H43" i="11" s="1"/>
  <c r="G43" i="11"/>
  <c r="J42" i="11"/>
  <c r="J29" i="11"/>
  <c r="G30" i="11"/>
  <c r="F30" i="11"/>
  <c r="H30" i="11" s="1"/>
  <c r="J39" i="11"/>
  <c r="G40" i="11"/>
  <c r="F40" i="11"/>
  <c r="H40" i="11" s="1"/>
  <c r="F52" i="11"/>
  <c r="H52" i="11" s="1"/>
  <c r="J51" i="11"/>
  <c r="G52" i="11"/>
  <c r="J43" i="11"/>
  <c r="G44" i="11"/>
  <c r="F44" i="11"/>
  <c r="H44" i="11" s="1"/>
  <c r="F20" i="11"/>
  <c r="H20" i="11" s="1"/>
  <c r="J19" i="11"/>
  <c r="G20" i="11"/>
  <c r="F13" i="11"/>
  <c r="H13" i="11" s="1"/>
  <c r="G13" i="11"/>
  <c r="F12" i="11"/>
  <c r="H12" i="11" s="1"/>
  <c r="J12" i="11"/>
  <c r="J25" i="11"/>
  <c r="G26" i="11"/>
  <c r="F26" i="11"/>
  <c r="H26" i="11" s="1"/>
  <c r="J44" i="11"/>
  <c r="G45" i="11"/>
  <c r="F45" i="11"/>
  <c r="H45" i="11" s="1"/>
  <c r="J59" i="11"/>
  <c r="G60" i="11"/>
  <c r="F60" i="11"/>
  <c r="H60" i="11" s="1"/>
  <c r="J26" i="11"/>
  <c r="G27" i="11"/>
  <c r="F27" i="11"/>
  <c r="H27" i="11" s="1"/>
  <c r="J38" i="11"/>
  <c r="F39" i="11"/>
  <c r="H39" i="11" s="1"/>
  <c r="G39" i="11"/>
  <c r="F32" i="11"/>
  <c r="H32" i="11" s="1"/>
  <c r="J31" i="11"/>
  <c r="G32" i="11"/>
  <c r="M2" i="11"/>
  <c r="J49" i="11"/>
  <c r="G50" i="11"/>
  <c r="F50" i="11"/>
  <c r="H50" i="11" s="1"/>
  <c r="F38" i="11"/>
  <c r="H38" i="11" s="1"/>
  <c r="J37" i="11"/>
  <c r="G38" i="11"/>
  <c r="F31" i="11"/>
  <c r="H31" i="11" s="1"/>
  <c r="J30" i="11"/>
  <c r="G31" i="11"/>
  <c r="F56" i="11"/>
  <c r="H56" i="11" s="1"/>
  <c r="J55" i="11"/>
  <c r="G56" i="11"/>
  <c r="J57" i="11"/>
  <c r="G58" i="11"/>
  <c r="F58" i="11"/>
  <c r="H58" i="11" s="1"/>
  <c r="F15" i="11"/>
  <c r="H15" i="11" s="1"/>
  <c r="G14" i="11"/>
  <c r="J13" i="11"/>
  <c r="F14" i="11"/>
  <c r="H14" i="11" s="1"/>
  <c r="G21" i="11"/>
  <c r="F21" i="11"/>
  <c r="H21" i="11" s="1"/>
  <c r="J20" i="11"/>
  <c r="J52" i="11"/>
  <c r="G53" i="11"/>
  <c r="F53" i="11"/>
  <c r="H53" i="11" s="1"/>
  <c r="J48" i="11"/>
  <c r="G49" i="11"/>
  <c r="F49" i="11"/>
  <c r="H49" i="11" s="1"/>
  <c r="M6" i="11"/>
  <c r="F34" i="11"/>
  <c r="H34" i="11" s="1"/>
  <c r="M3" i="11"/>
  <c r="J33" i="11"/>
  <c r="G34" i="11"/>
  <c r="F55" i="11"/>
  <c r="H55" i="11" s="1"/>
  <c r="J54" i="11"/>
  <c r="G55" i="11"/>
  <c r="F47" i="11"/>
  <c r="H47" i="11" s="1"/>
  <c r="J46" i="11"/>
  <c r="G47" i="11"/>
  <c r="J32" i="11"/>
  <c r="G33" i="11"/>
  <c r="G63" i="11"/>
  <c r="F63" i="11"/>
  <c r="H63" i="11" s="1"/>
  <c r="J62" i="11"/>
  <c r="F41" i="11"/>
  <c r="H41" i="11" s="1"/>
  <c r="J40" i="11"/>
  <c r="G41" i="11"/>
  <c r="G15" i="11"/>
  <c r="J14" i="11"/>
  <c r="G19" i="11"/>
  <c r="F19" i="11"/>
  <c r="H19" i="11" s="1"/>
  <c r="J18" i="11"/>
  <c r="J21" i="11"/>
  <c r="G22" i="11"/>
  <c r="F22" i="11"/>
  <c r="H22" i="11" s="1"/>
  <c r="F16" i="11"/>
  <c r="H16" i="11" s="1"/>
  <c r="G16" i="11"/>
  <c r="J15" i="11"/>
  <c r="J50" i="11"/>
  <c r="G51" i="11"/>
  <c r="F51" i="11"/>
  <c r="H51" i="11" s="1"/>
  <c r="G37" i="11"/>
  <c r="F37" i="11"/>
  <c r="H37" i="11" s="1"/>
  <c r="J36" i="11"/>
  <c r="G57" i="11"/>
  <c r="F57" i="11"/>
  <c r="H57" i="11" s="1"/>
  <c r="J56" i="11"/>
  <c r="F28" i="11"/>
  <c r="H28" i="11" s="1"/>
  <c r="J27" i="11"/>
  <c r="G28" i="11"/>
  <c r="J41" i="11"/>
  <c r="G42" i="11"/>
  <c r="F42" i="11"/>
  <c r="H42" i="11" s="1"/>
  <c r="G59" i="11"/>
  <c r="F59" i="11"/>
  <c r="H59" i="11" s="1"/>
  <c r="J58" i="11"/>
  <c r="J64" i="11"/>
  <c r="F64" i="11"/>
  <c r="H64" i="11" s="1"/>
  <c r="J63" i="11"/>
  <c r="G64" i="11"/>
  <c r="J53" i="11"/>
  <c r="G54" i="11"/>
  <c r="F54" i="11"/>
  <c r="H54" i="11" s="1"/>
  <c r="J22" i="11"/>
  <c r="G23" i="11"/>
  <c r="F23" i="11"/>
  <c r="H23" i="11" s="1"/>
  <c r="F62" i="11"/>
  <c r="H62" i="11" s="1"/>
  <c r="J61" i="11"/>
  <c r="G62" i="11"/>
  <c r="F18" i="11"/>
  <c r="H18" i="11" s="1"/>
  <c r="J17" i="11"/>
  <c r="G18" i="11"/>
  <c r="J45" i="11"/>
  <c r="G46" i="11"/>
  <c r="F46" i="11"/>
  <c r="H46" i="11" s="1"/>
  <c r="G24" i="11"/>
  <c r="F24" i="11"/>
  <c r="H24" i="11" s="1"/>
  <c r="J23" i="11"/>
  <c r="C17" i="9"/>
  <c r="D17" i="9" s="1"/>
  <c r="E17" i="9" s="1"/>
  <c r="C63" i="9"/>
  <c r="D63" i="9" s="1"/>
  <c r="E63" i="9" s="1"/>
  <c r="C23" i="9"/>
  <c r="D23" i="9" s="1"/>
  <c r="E23" i="9" s="1"/>
  <c r="C31" i="9"/>
  <c r="D31" i="9" s="1"/>
  <c r="E31" i="9" s="1"/>
  <c r="C39" i="9"/>
  <c r="D39" i="9" s="1"/>
  <c r="E39" i="9" s="1"/>
  <c r="C55" i="9"/>
  <c r="D55" i="9" s="1"/>
  <c r="E55" i="9" s="1"/>
  <c r="C59" i="9"/>
  <c r="D59" i="9" s="1"/>
  <c r="E59" i="9" s="1"/>
  <c r="C62" i="9"/>
  <c r="D62" i="9" s="1"/>
  <c r="E62" i="9" s="1"/>
  <c r="C54" i="9"/>
  <c r="D54" i="9" s="1"/>
  <c r="E54" i="9" s="1"/>
  <c r="C46" i="9"/>
  <c r="D46" i="9" s="1"/>
  <c r="E46" i="9" s="1"/>
  <c r="C38" i="9"/>
  <c r="D38" i="9" s="1"/>
  <c r="E38" i="9" s="1"/>
  <c r="C33" i="9"/>
  <c r="D33" i="9" s="1"/>
  <c r="E33" i="9" s="1"/>
  <c r="C18" i="9"/>
  <c r="D18" i="9" s="1"/>
  <c r="E18" i="9" s="1"/>
  <c r="C26" i="9"/>
  <c r="D26" i="9" s="1"/>
  <c r="E26" i="9" s="1"/>
  <c r="C37" i="9"/>
  <c r="D37" i="9" s="1"/>
  <c r="E37" i="9" s="1"/>
  <c r="C61" i="9"/>
  <c r="D61" i="9" s="1"/>
  <c r="E61" i="9" s="1"/>
  <c r="C29" i="9"/>
  <c r="D29" i="9" s="1"/>
  <c r="E29" i="9" s="1"/>
  <c r="C57" i="9"/>
  <c r="D57" i="9" s="1"/>
  <c r="E57" i="9" s="1"/>
  <c r="C64" i="9"/>
  <c r="D64" i="9" s="1"/>
  <c r="E64" i="9" s="1"/>
  <c r="C40" i="9"/>
  <c r="D40" i="9" s="1"/>
  <c r="E40" i="9" s="1"/>
  <c r="C16" i="9"/>
  <c r="D16" i="9" s="1"/>
  <c r="E16" i="9" s="1"/>
  <c r="C53" i="9"/>
  <c r="D53" i="9" s="1"/>
  <c r="E53" i="9" s="1"/>
  <c r="C13" i="9"/>
  <c r="D13" i="9" s="1"/>
  <c r="E13" i="9" s="1"/>
  <c r="C25" i="9"/>
  <c r="D25" i="9" s="1"/>
  <c r="E25" i="9" s="1"/>
  <c r="C41" i="9"/>
  <c r="D41" i="9" s="1"/>
  <c r="E41" i="9" s="1"/>
  <c r="C14" i="9"/>
  <c r="D14" i="9" s="1"/>
  <c r="E14" i="9" s="1"/>
  <c r="C60" i="9"/>
  <c r="D60" i="9" s="1"/>
  <c r="E60" i="9" s="1"/>
  <c r="C52" i="9"/>
  <c r="D52" i="9" s="1"/>
  <c r="E52" i="9" s="1"/>
  <c r="C44" i="9"/>
  <c r="D44" i="9" s="1"/>
  <c r="E44" i="9" s="1"/>
  <c r="C36" i="9"/>
  <c r="D36" i="9" s="1"/>
  <c r="E36" i="9" s="1"/>
  <c r="C20" i="9"/>
  <c r="D20" i="9" s="1"/>
  <c r="E20" i="9" s="1"/>
  <c r="C28" i="9"/>
  <c r="D28" i="9" s="1"/>
  <c r="E28" i="9" s="1"/>
  <c r="C45" i="9"/>
  <c r="D45" i="9" s="1"/>
  <c r="E45" i="9" s="1"/>
  <c r="C48" i="9"/>
  <c r="D48" i="9" s="1"/>
  <c r="E48" i="9" s="1"/>
  <c r="C24" i="9"/>
  <c r="D24" i="9" s="1"/>
  <c r="E24" i="9" s="1"/>
  <c r="C19" i="9"/>
  <c r="D19" i="9" s="1"/>
  <c r="E19" i="9" s="1"/>
  <c r="C27" i="9"/>
  <c r="D27" i="9" s="1"/>
  <c r="E27" i="9" s="1"/>
  <c r="C49" i="9"/>
  <c r="D49" i="9" s="1"/>
  <c r="E49" i="9" s="1"/>
  <c r="C47" i="9"/>
  <c r="D47" i="9" s="1"/>
  <c r="E47" i="9" s="1"/>
  <c r="C12" i="9"/>
  <c r="D12" i="9" s="1"/>
  <c r="E12" i="9" s="1"/>
  <c r="C43" i="9"/>
  <c r="D43" i="9" s="1"/>
  <c r="E43" i="9" s="1"/>
  <c r="C58" i="9"/>
  <c r="D58" i="9" s="1"/>
  <c r="E58" i="9" s="1"/>
  <c r="C50" i="9"/>
  <c r="D50" i="9" s="1"/>
  <c r="E50" i="9" s="1"/>
  <c r="C42" i="9"/>
  <c r="D42" i="9" s="1"/>
  <c r="E42" i="9" s="1"/>
  <c r="C35" i="9"/>
  <c r="D35" i="9" s="1"/>
  <c r="E35" i="9" s="1"/>
  <c r="C15" i="9"/>
  <c r="D15" i="9" s="1"/>
  <c r="E15" i="9" s="1"/>
  <c r="C22" i="9"/>
  <c r="D22" i="9" s="1"/>
  <c r="E22" i="9" s="1"/>
  <c r="C30" i="9"/>
  <c r="D30" i="9" s="1"/>
  <c r="E30" i="9" s="1"/>
  <c r="C21" i="9"/>
  <c r="D21" i="9" s="1"/>
  <c r="E21" i="9" s="1"/>
  <c r="C51" i="9"/>
  <c r="D51" i="9" s="1"/>
  <c r="E51" i="9" s="1"/>
  <c r="C56" i="9"/>
  <c r="D56" i="9" s="1"/>
  <c r="E56" i="9" s="1"/>
  <c r="C34" i="9"/>
  <c r="D34" i="9" s="1"/>
  <c r="E34" i="9" s="1"/>
  <c r="C32" i="9"/>
  <c r="D32" i="9" s="1"/>
  <c r="E32" i="9" s="1"/>
  <c r="C36" i="10"/>
  <c r="D36" i="10" s="1"/>
  <c r="E36" i="10" s="1"/>
  <c r="C13" i="10"/>
  <c r="D13" i="10" s="1"/>
  <c r="E13" i="10" s="1"/>
  <c r="C18" i="10"/>
  <c r="D18" i="10" s="1"/>
  <c r="E18" i="10" s="1"/>
  <c r="C64" i="10"/>
  <c r="D64" i="10" s="1"/>
  <c r="E64" i="10" s="1"/>
  <c r="C60" i="10"/>
  <c r="D60" i="10" s="1"/>
  <c r="E60" i="10" s="1"/>
  <c r="C56" i="10"/>
  <c r="D56" i="10" s="1"/>
  <c r="E56" i="10" s="1"/>
  <c r="C52" i="10"/>
  <c r="D52" i="10" s="1"/>
  <c r="E52" i="10" s="1"/>
  <c r="C48" i="10"/>
  <c r="D48" i="10" s="1"/>
  <c r="E48" i="10" s="1"/>
  <c r="C44" i="10"/>
  <c r="D44" i="10" s="1"/>
  <c r="E44" i="10" s="1"/>
  <c r="C40" i="10"/>
  <c r="D40" i="10" s="1"/>
  <c r="E40" i="10" s="1"/>
  <c r="C32" i="10"/>
  <c r="D32" i="10" s="1"/>
  <c r="E32" i="10" s="1"/>
  <c r="C28" i="10"/>
  <c r="D28" i="10" s="1"/>
  <c r="E28" i="10" s="1"/>
  <c r="C24" i="10"/>
  <c r="D24" i="10" s="1"/>
  <c r="E24" i="10" s="1"/>
  <c r="C12" i="10"/>
  <c r="D12" i="10" s="1"/>
  <c r="E12" i="10" s="1"/>
  <c r="C21" i="10"/>
  <c r="D21" i="10" s="1"/>
  <c r="E21" i="10" s="1"/>
  <c r="C57" i="10"/>
  <c r="D57" i="10" s="1"/>
  <c r="E57" i="10" s="1"/>
  <c r="C45" i="10"/>
  <c r="D45" i="10" s="1"/>
  <c r="E45" i="10" s="1"/>
  <c r="C37" i="10"/>
  <c r="D37" i="10" s="1"/>
  <c r="E37" i="10" s="1"/>
  <c r="C25" i="10"/>
  <c r="D25" i="10" s="1"/>
  <c r="E25" i="10" s="1"/>
  <c r="C22" i="10"/>
  <c r="D22" i="10" s="1"/>
  <c r="E22" i="10" s="1"/>
  <c r="C33" i="10"/>
  <c r="D33" i="10" s="1"/>
  <c r="E33" i="10" s="1"/>
  <c r="C14" i="10"/>
  <c r="D14" i="10" s="1"/>
  <c r="E14" i="10" s="1"/>
  <c r="C19" i="10"/>
  <c r="D19" i="10" s="1"/>
  <c r="E19" i="10" s="1"/>
  <c r="C63" i="10"/>
  <c r="D63" i="10" s="1"/>
  <c r="E63" i="10" s="1"/>
  <c r="C59" i="10"/>
  <c r="D59" i="10" s="1"/>
  <c r="E59" i="10" s="1"/>
  <c r="C55" i="10"/>
  <c r="D55" i="10" s="1"/>
  <c r="E55" i="10" s="1"/>
  <c r="C51" i="10"/>
  <c r="D51" i="10" s="1"/>
  <c r="E51" i="10" s="1"/>
  <c r="C47" i="10"/>
  <c r="D47" i="10" s="1"/>
  <c r="E47" i="10" s="1"/>
  <c r="C43" i="10"/>
  <c r="D43" i="10" s="1"/>
  <c r="E43" i="10" s="1"/>
  <c r="C39" i="10"/>
  <c r="D39" i="10" s="1"/>
  <c r="E39" i="10" s="1"/>
  <c r="C31" i="10"/>
  <c r="D31" i="10" s="1"/>
  <c r="E31" i="10" s="1"/>
  <c r="C27" i="10"/>
  <c r="D27" i="10" s="1"/>
  <c r="E27" i="10" s="1"/>
  <c r="C23" i="10"/>
  <c r="D23" i="10" s="1"/>
  <c r="E23" i="10" s="1"/>
  <c r="C16" i="10"/>
  <c r="D16" i="10" s="1"/>
  <c r="E16" i="10" s="1"/>
  <c r="C35" i="10"/>
  <c r="D35" i="10" s="1"/>
  <c r="E35" i="10" s="1"/>
  <c r="C17" i="10"/>
  <c r="D17" i="10" s="1"/>
  <c r="E17" i="10" s="1"/>
  <c r="C15" i="10"/>
  <c r="D15" i="10" s="1"/>
  <c r="E15" i="10" s="1"/>
  <c r="C20" i="10"/>
  <c r="D20" i="10" s="1"/>
  <c r="E20" i="10" s="1"/>
  <c r="C62" i="10"/>
  <c r="D62" i="10" s="1"/>
  <c r="E62" i="10" s="1"/>
  <c r="C58" i="10"/>
  <c r="D58" i="10" s="1"/>
  <c r="E58" i="10" s="1"/>
  <c r="C54" i="10"/>
  <c r="D54" i="10" s="1"/>
  <c r="E54" i="10" s="1"/>
  <c r="C50" i="10"/>
  <c r="D50" i="10" s="1"/>
  <c r="E50" i="10" s="1"/>
  <c r="C46" i="10"/>
  <c r="D46" i="10" s="1"/>
  <c r="E46" i="10" s="1"/>
  <c r="C42" i="10"/>
  <c r="D42" i="10" s="1"/>
  <c r="E42" i="10" s="1"/>
  <c r="C38" i="10"/>
  <c r="D38" i="10" s="1"/>
  <c r="E38" i="10" s="1"/>
  <c r="C30" i="10"/>
  <c r="D30" i="10" s="1"/>
  <c r="E30" i="10" s="1"/>
  <c r="C26" i="10"/>
  <c r="D26" i="10" s="1"/>
  <c r="E26" i="10" s="1"/>
  <c r="C34" i="10"/>
  <c r="D34" i="10" s="1"/>
  <c r="E34" i="10" s="1"/>
  <c r="C61" i="10"/>
  <c r="D61" i="10" s="1"/>
  <c r="E61" i="10" s="1"/>
  <c r="C53" i="10"/>
  <c r="D53" i="10" s="1"/>
  <c r="E53" i="10" s="1"/>
  <c r="C49" i="10"/>
  <c r="D49" i="10" s="1"/>
  <c r="E49" i="10" s="1"/>
  <c r="C41" i="10"/>
  <c r="D41" i="10" s="1"/>
  <c r="E41" i="10" s="1"/>
  <c r="C29" i="10"/>
  <c r="D29" i="10" s="1"/>
  <c r="E29" i="10" s="1"/>
  <c r="C61" i="7"/>
  <c r="D61" i="7" s="1"/>
  <c r="E61" i="7" s="1"/>
  <c r="C22" i="7"/>
  <c r="D22" i="7" s="1"/>
  <c r="E22" i="7" s="1"/>
  <c r="C38" i="7"/>
  <c r="D38" i="7" s="1"/>
  <c r="E38" i="7" s="1"/>
  <c r="C57" i="7"/>
  <c r="D57" i="7" s="1"/>
  <c r="E57" i="7" s="1"/>
  <c r="C21" i="7"/>
  <c r="D21" i="7" s="1"/>
  <c r="E21" i="7" s="1"/>
  <c r="C23" i="7"/>
  <c r="D23" i="7" s="1"/>
  <c r="E23" i="7" s="1"/>
  <c r="C39" i="7"/>
  <c r="D39" i="7" s="1"/>
  <c r="E39" i="7" s="1"/>
  <c r="C56" i="7"/>
  <c r="D56" i="7" s="1"/>
  <c r="E56" i="7" s="1"/>
  <c r="C14" i="7"/>
  <c r="D14" i="7" s="1"/>
  <c r="E14" i="7" s="1"/>
  <c r="C30" i="7"/>
  <c r="D30" i="7" s="1"/>
  <c r="E30" i="7" s="1"/>
  <c r="C46" i="7"/>
  <c r="D46" i="7" s="1"/>
  <c r="E46" i="7" s="1"/>
  <c r="C15" i="7"/>
  <c r="D15" i="7" s="1"/>
  <c r="E15" i="7" s="1"/>
  <c r="C47" i="7"/>
  <c r="D47" i="7" s="1"/>
  <c r="E47" i="7" s="1"/>
  <c r="C42" i="7"/>
  <c r="D42" i="7" s="1"/>
  <c r="E42" i="7" s="1"/>
  <c r="C40" i="7"/>
  <c r="D40" i="7" s="1"/>
  <c r="E40" i="7" s="1"/>
  <c r="C27" i="7"/>
  <c r="D27" i="7" s="1"/>
  <c r="E27" i="7" s="1"/>
  <c r="C43" i="7"/>
  <c r="D43" i="7" s="1"/>
  <c r="E43" i="7" s="1"/>
  <c r="C60" i="7"/>
  <c r="D60" i="7" s="1"/>
  <c r="E60" i="7" s="1"/>
  <c r="C13" i="7"/>
  <c r="D13" i="7" s="1"/>
  <c r="E13" i="7" s="1"/>
  <c r="C29" i="7"/>
  <c r="D29" i="7" s="1"/>
  <c r="E29" i="7" s="1"/>
  <c r="C45" i="7"/>
  <c r="D45" i="7" s="1"/>
  <c r="E45" i="7" s="1"/>
  <c r="C58" i="7"/>
  <c r="D58" i="7" s="1"/>
  <c r="E58" i="7" s="1"/>
  <c r="C19" i="7"/>
  <c r="D19" i="7" s="1"/>
  <c r="E19" i="7" s="1"/>
  <c r="C35" i="7"/>
  <c r="D35" i="7" s="1"/>
  <c r="E35" i="7" s="1"/>
  <c r="C52" i="7"/>
  <c r="D52" i="7" s="1"/>
  <c r="E52" i="7" s="1"/>
  <c r="C24" i="7"/>
  <c r="D24" i="7" s="1"/>
  <c r="E24" i="7" s="1"/>
  <c r="C37" i="7"/>
  <c r="D37" i="7" s="1"/>
  <c r="E37" i="7" s="1"/>
  <c r="C31" i="7"/>
  <c r="D31" i="7" s="1"/>
  <c r="E31" i="7" s="1"/>
  <c r="C17" i="7"/>
  <c r="D17" i="7" s="1"/>
  <c r="E17" i="7" s="1"/>
  <c r="C33" i="7"/>
  <c r="D33" i="7" s="1"/>
  <c r="E33" i="7" s="1"/>
  <c r="C49" i="7"/>
  <c r="D49" i="7" s="1"/>
  <c r="C62" i="7"/>
  <c r="D62" i="7" s="1"/>
  <c r="E62" i="7" s="1"/>
  <c r="C16" i="7"/>
  <c r="D16" i="7" s="1"/>
  <c r="E16" i="7" s="1"/>
  <c r="C32" i="7"/>
  <c r="D32" i="7" s="1"/>
  <c r="C48" i="7"/>
  <c r="D48" i="7" s="1"/>
  <c r="E48" i="7" s="1"/>
  <c r="C63" i="7"/>
  <c r="D63" i="7" s="1"/>
  <c r="E63" i="7" s="1"/>
  <c r="C25" i="7"/>
  <c r="D25" i="7" s="1"/>
  <c r="E25" i="7" s="1"/>
  <c r="C41" i="7"/>
  <c r="D41" i="7" s="1"/>
  <c r="E41" i="7" s="1"/>
  <c r="C54" i="7"/>
  <c r="D54" i="7" s="1"/>
  <c r="E54" i="7" s="1"/>
  <c r="C64" i="7"/>
  <c r="D64" i="7" s="1"/>
  <c r="E64" i="7" s="1"/>
  <c r="C20" i="7"/>
  <c r="D20" i="7" s="1"/>
  <c r="E20" i="7" s="1"/>
  <c r="C36" i="7"/>
  <c r="D36" i="7" s="1"/>
  <c r="E36" i="7" s="1"/>
  <c r="C51" i="7"/>
  <c r="D51" i="7" s="1"/>
  <c r="E51" i="7" s="1"/>
  <c r="C12" i="7"/>
  <c r="D12" i="7" s="1"/>
  <c r="E12" i="7" s="1"/>
  <c r="C18" i="7"/>
  <c r="D18" i="7" s="1"/>
  <c r="E18" i="7" s="1"/>
  <c r="D34" i="7"/>
  <c r="E34" i="7" s="1"/>
  <c r="C53" i="7"/>
  <c r="D53" i="7" s="1"/>
  <c r="E53" i="7" s="1"/>
  <c r="C26" i="7"/>
  <c r="D26" i="7" s="1"/>
  <c r="E26" i="7" s="1"/>
  <c r="C28" i="7"/>
  <c r="D28" i="7" s="1"/>
  <c r="E28" i="7" s="1"/>
  <c r="C44" i="7"/>
  <c r="D44" i="7" s="1"/>
  <c r="E44" i="7" s="1"/>
  <c r="C59" i="7"/>
  <c r="D59" i="7" s="1"/>
  <c r="E59" i="7" s="1"/>
  <c r="C55" i="7"/>
  <c r="D55" i="7" s="1"/>
  <c r="E55" i="7" s="1"/>
  <c r="C50" i="7"/>
  <c r="D50" i="7" s="1"/>
  <c r="E50" i="7" s="1"/>
  <c r="M7" i="11" l="1"/>
  <c r="N51" i="11" s="1"/>
  <c r="O51" i="11" s="1"/>
  <c r="N5" i="1"/>
  <c r="L49" i="11"/>
  <c r="M49" i="11" s="1"/>
  <c r="L34" i="11"/>
  <c r="M34" i="11" s="1"/>
  <c r="L16" i="11"/>
  <c r="M16" i="11" s="1"/>
  <c r="L22" i="11"/>
  <c r="M22" i="11" s="1"/>
  <c r="L19" i="11"/>
  <c r="M19" i="11" s="1"/>
  <c r="L15" i="11"/>
  <c r="M15" i="11" s="1"/>
  <c r="L18" i="11"/>
  <c r="M18" i="11" s="1"/>
  <c r="L62" i="11"/>
  <c r="M62" i="11" s="1"/>
  <c r="L53" i="11"/>
  <c r="M53" i="11" s="1"/>
  <c r="L21" i="11"/>
  <c r="M21" i="11" s="1"/>
  <c r="L14" i="11"/>
  <c r="M14" i="11" s="1"/>
  <c r="L31" i="11"/>
  <c r="M31" i="11" s="1"/>
  <c r="L24" i="11"/>
  <c r="M24" i="11" s="1"/>
  <c r="L46" i="11"/>
  <c r="M46" i="11" s="1"/>
  <c r="L23" i="11"/>
  <c r="M23" i="11" s="1"/>
  <c r="L54" i="11"/>
  <c r="M54" i="11" s="1"/>
  <c r="L59" i="11"/>
  <c r="M59" i="11" s="1"/>
  <c r="L64" i="11"/>
  <c r="M64" i="11" s="1"/>
  <c r="L42" i="11"/>
  <c r="M42" i="11" s="1"/>
  <c r="L28" i="11"/>
  <c r="M28" i="11" s="1"/>
  <c r="L57" i="11"/>
  <c r="M57" i="11" s="1"/>
  <c r="L37" i="11"/>
  <c r="M37" i="11" s="1"/>
  <c r="L51" i="11"/>
  <c r="M51" i="11" s="1"/>
  <c r="L41" i="11"/>
  <c r="M41" i="11" s="1"/>
  <c r="L63" i="11"/>
  <c r="M63" i="11" s="1"/>
  <c r="L33" i="11"/>
  <c r="M33" i="11" s="1"/>
  <c r="L47" i="11"/>
  <c r="M47" i="11" s="1"/>
  <c r="L55" i="11"/>
  <c r="M55" i="11" s="1"/>
  <c r="L58" i="11"/>
  <c r="M58" i="11" s="1"/>
  <c r="L56" i="11"/>
  <c r="M56" i="11" s="1"/>
  <c r="N6" i="1"/>
  <c r="L20" i="11"/>
  <c r="M20" i="11" s="1"/>
  <c r="L30" i="11"/>
  <c r="M30" i="11" s="1"/>
  <c r="L17" i="11"/>
  <c r="M17" i="11" s="1"/>
  <c r="L36" i="11"/>
  <c r="M36" i="11" s="1"/>
  <c r="L48" i="11"/>
  <c r="M48" i="11" s="1"/>
  <c r="L39" i="11"/>
  <c r="M39" i="11" s="1"/>
  <c r="L45" i="11"/>
  <c r="M45" i="11" s="1"/>
  <c r="L12" i="11"/>
  <c r="M12" i="11" s="1"/>
  <c r="J32" i="10"/>
  <c r="L38" i="11"/>
  <c r="M38" i="11" s="1"/>
  <c r="L26" i="11"/>
  <c r="M26" i="11" s="1"/>
  <c r="L13" i="11"/>
  <c r="M13" i="11" s="1"/>
  <c r="L44" i="11"/>
  <c r="M44" i="11" s="1"/>
  <c r="L52" i="11"/>
  <c r="M52" i="11" s="1"/>
  <c r="L43" i="11"/>
  <c r="M43" i="11" s="1"/>
  <c r="L35" i="11"/>
  <c r="M35" i="11" s="1"/>
  <c r="L50" i="11"/>
  <c r="M50" i="11" s="1"/>
  <c r="L32" i="11"/>
  <c r="L27" i="11"/>
  <c r="M27" i="11" s="1"/>
  <c r="L60" i="11"/>
  <c r="M60" i="11" s="1"/>
  <c r="L40" i="11"/>
  <c r="M40" i="11" s="1"/>
  <c r="L61" i="11"/>
  <c r="M61" i="11" s="1"/>
  <c r="L25" i="11"/>
  <c r="M25" i="11" s="1"/>
  <c r="L29" i="11"/>
  <c r="M29" i="11" s="1"/>
  <c r="J48" i="10"/>
  <c r="G49" i="10"/>
  <c r="F49" i="10"/>
  <c r="H49" i="10" s="1"/>
  <c r="M6" i="10"/>
  <c r="F26" i="10"/>
  <c r="H26" i="10" s="1"/>
  <c r="G26" i="10"/>
  <c r="J25" i="10"/>
  <c r="G46" i="10"/>
  <c r="F46" i="10"/>
  <c r="H46" i="10" s="1"/>
  <c r="J45" i="10"/>
  <c r="J61" i="10"/>
  <c r="G62" i="10"/>
  <c r="F62" i="10"/>
  <c r="H62" i="10" s="1"/>
  <c r="G35" i="10"/>
  <c r="F35" i="10"/>
  <c r="H35" i="10" s="1"/>
  <c r="J34" i="10"/>
  <c r="M4" i="10" s="1"/>
  <c r="J30" i="10"/>
  <c r="F31" i="10"/>
  <c r="H31" i="10" s="1"/>
  <c r="G31" i="10"/>
  <c r="G51" i="10"/>
  <c r="F51" i="10"/>
  <c r="H51" i="10" s="1"/>
  <c r="J50" i="10"/>
  <c r="G19" i="10"/>
  <c r="F19" i="10"/>
  <c r="H19" i="10" s="1"/>
  <c r="J18" i="10"/>
  <c r="F25" i="10"/>
  <c r="H25" i="10" s="1"/>
  <c r="G25" i="10"/>
  <c r="J24" i="10"/>
  <c r="G21" i="10"/>
  <c r="F21" i="10"/>
  <c r="H21" i="10" s="1"/>
  <c r="J20" i="10"/>
  <c r="J31" i="10"/>
  <c r="M2" i="10"/>
  <c r="G32" i="10"/>
  <c r="F32" i="10"/>
  <c r="H32" i="10" s="1"/>
  <c r="G52" i="10"/>
  <c r="F52" i="10"/>
  <c r="H52" i="10" s="1"/>
  <c r="J51" i="10"/>
  <c r="G18" i="10"/>
  <c r="F18" i="10"/>
  <c r="H18" i="10" s="1"/>
  <c r="J17" i="10"/>
  <c r="F34" i="9"/>
  <c r="H34" i="9" s="1"/>
  <c r="G34" i="9"/>
  <c r="J33" i="9"/>
  <c r="M3" i="9"/>
  <c r="G30" i="9"/>
  <c r="J29" i="9"/>
  <c r="F30" i="9"/>
  <c r="H30" i="9" s="1"/>
  <c r="F42" i="9"/>
  <c r="H42" i="9" s="1"/>
  <c r="G42" i="9"/>
  <c r="J41" i="9"/>
  <c r="G12" i="9"/>
  <c r="J18" i="9"/>
  <c r="G19" i="9"/>
  <c r="F19" i="9"/>
  <c r="H19" i="9" s="1"/>
  <c r="J27" i="9"/>
  <c r="F28" i="9"/>
  <c r="H28" i="9" s="1"/>
  <c r="G28" i="9"/>
  <c r="F52" i="9"/>
  <c r="H52" i="9" s="1"/>
  <c r="J51" i="9"/>
  <c r="G52" i="9"/>
  <c r="J24" i="9"/>
  <c r="F25" i="9"/>
  <c r="H25" i="9" s="1"/>
  <c r="G25" i="9"/>
  <c r="J39" i="9"/>
  <c r="G40" i="9"/>
  <c r="F40" i="9"/>
  <c r="H40" i="9" s="1"/>
  <c r="F61" i="9"/>
  <c r="H61" i="9" s="1"/>
  <c r="J60" i="9"/>
  <c r="G61" i="9"/>
  <c r="G33" i="9"/>
  <c r="J32" i="9"/>
  <c r="F33" i="9"/>
  <c r="H33" i="9" s="1"/>
  <c r="F62" i="9"/>
  <c r="H62" i="9" s="1"/>
  <c r="G62" i="9"/>
  <c r="J61" i="9"/>
  <c r="F31" i="9"/>
  <c r="H31" i="9" s="1"/>
  <c r="G31" i="9"/>
  <c r="J30" i="9"/>
  <c r="J52" i="10"/>
  <c r="G53" i="10"/>
  <c r="F53" i="10"/>
  <c r="H53" i="10" s="1"/>
  <c r="F30" i="10"/>
  <c r="H30" i="10" s="1"/>
  <c r="G30" i="10"/>
  <c r="J29" i="10"/>
  <c r="J49" i="10"/>
  <c r="G50" i="10"/>
  <c r="F50" i="10"/>
  <c r="H50" i="10" s="1"/>
  <c r="F20" i="10"/>
  <c r="H20" i="10" s="1"/>
  <c r="J19" i="10"/>
  <c r="G20" i="10"/>
  <c r="F16" i="10"/>
  <c r="H16" i="10" s="1"/>
  <c r="J15" i="10"/>
  <c r="G16" i="10"/>
  <c r="G39" i="10"/>
  <c r="F39" i="10"/>
  <c r="H39" i="10" s="1"/>
  <c r="J38" i="10"/>
  <c r="G55" i="10"/>
  <c r="F55" i="10"/>
  <c r="H55" i="10" s="1"/>
  <c r="J54" i="10"/>
  <c r="F14" i="10"/>
  <c r="H14" i="10" s="1"/>
  <c r="J13" i="10"/>
  <c r="G14" i="10"/>
  <c r="J36" i="10"/>
  <c r="G37" i="10"/>
  <c r="F37" i="10"/>
  <c r="H37" i="10" s="1"/>
  <c r="G12" i="10"/>
  <c r="G40" i="10"/>
  <c r="F40" i="10"/>
  <c r="H40" i="10" s="1"/>
  <c r="J39" i="10"/>
  <c r="J55" i="10"/>
  <c r="G56" i="10"/>
  <c r="F56" i="10"/>
  <c r="H56" i="10" s="1"/>
  <c r="J12" i="10"/>
  <c r="G13" i="10"/>
  <c r="F13" i="10"/>
  <c r="H13" i="10" s="1"/>
  <c r="F12" i="10"/>
  <c r="H12" i="10" s="1"/>
  <c r="F56" i="9"/>
  <c r="H56" i="9" s="1"/>
  <c r="G56" i="9"/>
  <c r="J55" i="9"/>
  <c r="G22" i="9"/>
  <c r="F22" i="9"/>
  <c r="H22" i="9" s="1"/>
  <c r="J21" i="9"/>
  <c r="G50" i="9"/>
  <c r="J49" i="9"/>
  <c r="F50" i="9"/>
  <c r="H50" i="9" s="1"/>
  <c r="J46" i="9"/>
  <c r="G47" i="9"/>
  <c r="F47" i="9"/>
  <c r="H47" i="9" s="1"/>
  <c r="F24" i="9"/>
  <c r="H24" i="9" s="1"/>
  <c r="G24" i="9"/>
  <c r="J23" i="9"/>
  <c r="J19" i="9"/>
  <c r="F20" i="9"/>
  <c r="H20" i="9" s="1"/>
  <c r="G20" i="9"/>
  <c r="F60" i="9"/>
  <c r="H60" i="9" s="1"/>
  <c r="G60" i="9"/>
  <c r="J59" i="9"/>
  <c r="F13" i="9"/>
  <c r="H13" i="9" s="1"/>
  <c r="G13" i="9"/>
  <c r="J12" i="9"/>
  <c r="F12" i="9"/>
  <c r="H12" i="9" s="1"/>
  <c r="G64" i="9"/>
  <c r="F64" i="9"/>
  <c r="H64" i="9" s="1"/>
  <c r="J64" i="9"/>
  <c r="J63" i="9"/>
  <c r="J36" i="9"/>
  <c r="G37" i="9"/>
  <c r="F37" i="9"/>
  <c r="H37" i="9" s="1"/>
  <c r="J37" i="9"/>
  <c r="F38" i="9"/>
  <c r="H38" i="9" s="1"/>
  <c r="G38" i="9"/>
  <c r="G59" i="9"/>
  <c r="F59" i="9"/>
  <c r="H59" i="9" s="1"/>
  <c r="J58" i="9"/>
  <c r="J22" i="9"/>
  <c r="G23" i="9"/>
  <c r="F23" i="9"/>
  <c r="H23" i="9" s="1"/>
  <c r="J28" i="10"/>
  <c r="G29" i="10"/>
  <c r="F29" i="10"/>
  <c r="H29" i="10" s="1"/>
  <c r="G61" i="10"/>
  <c r="F61" i="10"/>
  <c r="H61" i="10" s="1"/>
  <c r="J60" i="10"/>
  <c r="G38" i="10"/>
  <c r="F38" i="10"/>
  <c r="H38" i="10" s="1"/>
  <c r="J37" i="10"/>
  <c r="J53" i="10"/>
  <c r="G54" i="10"/>
  <c r="F54" i="10"/>
  <c r="H54" i="10" s="1"/>
  <c r="J14" i="10"/>
  <c r="G15" i="10"/>
  <c r="F15" i="10"/>
  <c r="H15" i="10" s="1"/>
  <c r="G23" i="10"/>
  <c r="J22" i="10"/>
  <c r="F23" i="10"/>
  <c r="H23" i="10" s="1"/>
  <c r="F43" i="10"/>
  <c r="H43" i="10" s="1"/>
  <c r="J42" i="10"/>
  <c r="G43" i="10"/>
  <c r="G59" i="10"/>
  <c r="F59" i="10"/>
  <c r="H59" i="10" s="1"/>
  <c r="J58" i="10"/>
  <c r="G33" i="10"/>
  <c r="F33" i="10"/>
  <c r="H33" i="10" s="1"/>
  <c r="J44" i="10"/>
  <c r="G45" i="10"/>
  <c r="F45" i="10"/>
  <c r="H45" i="10" s="1"/>
  <c r="G24" i="10"/>
  <c r="F24" i="10"/>
  <c r="H24" i="10" s="1"/>
  <c r="J23" i="10"/>
  <c r="F44" i="10"/>
  <c r="H44" i="10" s="1"/>
  <c r="J43" i="10"/>
  <c r="G44" i="10"/>
  <c r="G60" i="10"/>
  <c r="F60" i="10"/>
  <c r="H60" i="10" s="1"/>
  <c r="J59" i="10"/>
  <c r="F36" i="10"/>
  <c r="H36" i="10" s="1"/>
  <c r="J35" i="10"/>
  <c r="G36" i="10"/>
  <c r="G51" i="9"/>
  <c r="F51" i="9"/>
  <c r="H51" i="9" s="1"/>
  <c r="J50" i="9"/>
  <c r="F15" i="9"/>
  <c r="H15" i="9" s="1"/>
  <c r="J14" i="9"/>
  <c r="G15" i="9"/>
  <c r="J57" i="9"/>
  <c r="G58" i="9"/>
  <c r="F58" i="9"/>
  <c r="H58" i="9" s="1"/>
  <c r="J48" i="9"/>
  <c r="M6" i="9"/>
  <c r="G49" i="9"/>
  <c r="F49" i="9"/>
  <c r="H49" i="9" s="1"/>
  <c r="J47" i="9"/>
  <c r="F48" i="9"/>
  <c r="H48" i="9" s="1"/>
  <c r="G48" i="9"/>
  <c r="G36" i="9"/>
  <c r="F36" i="9"/>
  <c r="H36" i="9" s="1"/>
  <c r="J35" i="9"/>
  <c r="F14" i="9"/>
  <c r="H14" i="9" s="1"/>
  <c r="J13" i="9"/>
  <c r="G14" i="9"/>
  <c r="F53" i="9"/>
  <c r="H53" i="9" s="1"/>
  <c r="J52" i="9"/>
  <c r="G53" i="9"/>
  <c r="G57" i="9"/>
  <c r="J56" i="9"/>
  <c r="F57" i="9"/>
  <c r="H57" i="9" s="1"/>
  <c r="F26" i="9"/>
  <c r="H26" i="9" s="1"/>
  <c r="G26" i="9"/>
  <c r="J25" i="9"/>
  <c r="F46" i="9"/>
  <c r="H46" i="9" s="1"/>
  <c r="J45" i="9"/>
  <c r="G46" i="9"/>
  <c r="J54" i="9"/>
  <c r="G55" i="9"/>
  <c r="F55" i="9"/>
  <c r="H55" i="9" s="1"/>
  <c r="J62" i="9"/>
  <c r="G63" i="9"/>
  <c r="F63" i="9"/>
  <c r="H63" i="9" s="1"/>
  <c r="J40" i="10"/>
  <c r="G41" i="10"/>
  <c r="F41" i="10"/>
  <c r="H41" i="10" s="1"/>
  <c r="M3" i="10"/>
  <c r="G34" i="10"/>
  <c r="F34" i="10"/>
  <c r="H34" i="10" s="1"/>
  <c r="J33" i="10"/>
  <c r="G42" i="10"/>
  <c r="F42" i="10"/>
  <c r="H42" i="10" s="1"/>
  <c r="J41" i="10"/>
  <c r="J57" i="10"/>
  <c r="G58" i="10"/>
  <c r="F58" i="10"/>
  <c r="H58" i="10" s="1"/>
  <c r="J16" i="10"/>
  <c r="G17" i="10"/>
  <c r="F17" i="10"/>
  <c r="H17" i="10" s="1"/>
  <c r="J26" i="10"/>
  <c r="F27" i="10"/>
  <c r="H27" i="10" s="1"/>
  <c r="G27" i="10"/>
  <c r="F47" i="10"/>
  <c r="H47" i="10" s="1"/>
  <c r="J46" i="10"/>
  <c r="G47" i="10"/>
  <c r="J62" i="10"/>
  <c r="G63" i="10"/>
  <c r="F63" i="10"/>
  <c r="H63" i="10" s="1"/>
  <c r="J21" i="10"/>
  <c r="F22" i="10"/>
  <c r="H22" i="10" s="1"/>
  <c r="G22" i="10"/>
  <c r="J56" i="10"/>
  <c r="G57" i="10"/>
  <c r="F57" i="10"/>
  <c r="H57" i="10" s="1"/>
  <c r="F28" i="10"/>
  <c r="H28" i="10" s="1"/>
  <c r="J27" i="10"/>
  <c r="G28" i="10"/>
  <c r="F48" i="10"/>
  <c r="H48" i="10" s="1"/>
  <c r="J47" i="10"/>
  <c r="G48" i="10"/>
  <c r="G64" i="10"/>
  <c r="F64" i="10"/>
  <c r="H64" i="10" s="1"/>
  <c r="J64" i="10"/>
  <c r="J63" i="10"/>
  <c r="J31" i="9"/>
  <c r="G32" i="9"/>
  <c r="F32" i="9"/>
  <c r="H32" i="9" s="1"/>
  <c r="M2" i="9"/>
  <c r="G21" i="9"/>
  <c r="F21" i="9"/>
  <c r="H21" i="9" s="1"/>
  <c r="J20" i="9"/>
  <c r="G35" i="9"/>
  <c r="J34" i="9"/>
  <c r="M4" i="9" s="1"/>
  <c r="F35" i="9"/>
  <c r="H35" i="9" s="1"/>
  <c r="J42" i="9"/>
  <c r="F43" i="9"/>
  <c r="H43" i="9" s="1"/>
  <c r="G43" i="9"/>
  <c r="G27" i="9"/>
  <c r="F27" i="9"/>
  <c r="H27" i="9" s="1"/>
  <c r="J26" i="9"/>
  <c r="G45" i="9"/>
  <c r="F45" i="9"/>
  <c r="H45" i="9" s="1"/>
  <c r="J44" i="9"/>
  <c r="G44" i="9"/>
  <c r="F44" i="9"/>
  <c r="H44" i="9" s="1"/>
  <c r="J43" i="9"/>
  <c r="J40" i="9"/>
  <c r="G41" i="9"/>
  <c r="F41" i="9"/>
  <c r="H41" i="9" s="1"/>
  <c r="J15" i="9"/>
  <c r="G16" i="9"/>
  <c r="F16" i="9"/>
  <c r="H16" i="9" s="1"/>
  <c r="G29" i="9"/>
  <c r="F29" i="9"/>
  <c r="H29" i="9" s="1"/>
  <c r="J28" i="9"/>
  <c r="F18" i="9"/>
  <c r="H18" i="9" s="1"/>
  <c r="J17" i="9"/>
  <c r="G18" i="9"/>
  <c r="G54" i="9"/>
  <c r="J53" i="9"/>
  <c r="F54" i="9"/>
  <c r="H54" i="9" s="1"/>
  <c r="J38" i="9"/>
  <c r="G39" i="9"/>
  <c r="F39" i="9"/>
  <c r="H39" i="9" s="1"/>
  <c r="F17" i="9"/>
  <c r="H17" i="9" s="1"/>
  <c r="J16" i="9"/>
  <c r="G17" i="9"/>
  <c r="M3" i="7"/>
  <c r="E49" i="7"/>
  <c r="J50" i="7" s="1"/>
  <c r="F59" i="7"/>
  <c r="H59" i="7" s="1"/>
  <c r="G59" i="7"/>
  <c r="J58" i="7"/>
  <c r="G51" i="7"/>
  <c r="F51" i="7"/>
  <c r="H51" i="7" s="1"/>
  <c r="G54" i="7"/>
  <c r="F54" i="7"/>
  <c r="H54" i="7" s="1"/>
  <c r="J53" i="7"/>
  <c r="G19" i="7"/>
  <c r="F19" i="7"/>
  <c r="H19" i="7" s="1"/>
  <c r="J18" i="7"/>
  <c r="F12" i="7"/>
  <c r="H12" i="7" s="1"/>
  <c r="F13" i="7"/>
  <c r="H13" i="7" s="1"/>
  <c r="G13" i="7"/>
  <c r="J12" i="7"/>
  <c r="J39" i="7"/>
  <c r="G40" i="7"/>
  <c r="F40" i="7"/>
  <c r="H40" i="7" s="1"/>
  <c r="J45" i="7"/>
  <c r="F46" i="7"/>
  <c r="H46" i="7" s="1"/>
  <c r="G46" i="7"/>
  <c r="J38" i="7"/>
  <c r="G39" i="7"/>
  <c r="F39" i="7"/>
  <c r="H39" i="7" s="1"/>
  <c r="G38" i="7"/>
  <c r="J37" i="7"/>
  <c r="F38" i="7"/>
  <c r="H38" i="7" s="1"/>
  <c r="G44" i="7"/>
  <c r="J43" i="7"/>
  <c r="F44" i="7"/>
  <c r="H44" i="7" s="1"/>
  <c r="G34" i="7"/>
  <c r="F34" i="7"/>
  <c r="H34" i="7" s="1"/>
  <c r="F36" i="7"/>
  <c r="H36" i="7" s="1"/>
  <c r="J35" i="7"/>
  <c r="G36" i="7"/>
  <c r="J40" i="7"/>
  <c r="F41" i="7"/>
  <c r="H41" i="7" s="1"/>
  <c r="G41" i="7"/>
  <c r="E32" i="7"/>
  <c r="G33" i="7"/>
  <c r="J32" i="7"/>
  <c r="F24" i="7"/>
  <c r="H24" i="7" s="1"/>
  <c r="G24" i="7"/>
  <c r="J23" i="7"/>
  <c r="G58" i="7"/>
  <c r="J57" i="7"/>
  <c r="F58" i="7"/>
  <c r="H58" i="7" s="1"/>
  <c r="J59" i="7"/>
  <c r="G60" i="7"/>
  <c r="F60" i="7"/>
  <c r="H60" i="7" s="1"/>
  <c r="G42" i="7"/>
  <c r="J41" i="7"/>
  <c r="F42" i="7"/>
  <c r="H42" i="7" s="1"/>
  <c r="J29" i="7"/>
  <c r="F30" i="7"/>
  <c r="H30" i="7" s="1"/>
  <c r="G30" i="7"/>
  <c r="F23" i="7"/>
  <c r="H23" i="7" s="1"/>
  <c r="G23" i="7"/>
  <c r="J22" i="7"/>
  <c r="F22" i="7"/>
  <c r="H22" i="7" s="1"/>
  <c r="G22" i="7"/>
  <c r="J21" i="7"/>
  <c r="F48" i="7"/>
  <c r="H48" i="7" s="1"/>
  <c r="J47" i="7"/>
  <c r="G48" i="7"/>
  <c r="G50" i="7"/>
  <c r="J49" i="7"/>
  <c r="F28" i="7"/>
  <c r="H28" i="7" s="1"/>
  <c r="J27" i="7"/>
  <c r="G28" i="7"/>
  <c r="J17" i="7"/>
  <c r="G18" i="7"/>
  <c r="F18" i="7"/>
  <c r="H18" i="7" s="1"/>
  <c r="F20" i="7"/>
  <c r="H20" i="7" s="1"/>
  <c r="G20" i="7"/>
  <c r="J19" i="7"/>
  <c r="G25" i="7"/>
  <c r="F25" i="7"/>
  <c r="H25" i="7" s="1"/>
  <c r="J24" i="7"/>
  <c r="G16" i="7"/>
  <c r="F16" i="7"/>
  <c r="H16" i="7" s="1"/>
  <c r="J15" i="7"/>
  <c r="G17" i="7"/>
  <c r="F17" i="7"/>
  <c r="H17" i="7" s="1"/>
  <c r="J16" i="7"/>
  <c r="J51" i="7"/>
  <c r="G52" i="7"/>
  <c r="F52" i="7"/>
  <c r="H52" i="7" s="1"/>
  <c r="F45" i="7"/>
  <c r="H45" i="7" s="1"/>
  <c r="G45" i="7"/>
  <c r="J44" i="7"/>
  <c r="J42" i="7"/>
  <c r="F43" i="7"/>
  <c r="H43" i="7" s="1"/>
  <c r="G43" i="7"/>
  <c r="G47" i="7"/>
  <c r="F47" i="7"/>
  <c r="H47" i="7" s="1"/>
  <c r="J46" i="7"/>
  <c r="G14" i="7"/>
  <c r="J13" i="7"/>
  <c r="F14" i="7"/>
  <c r="H14" i="7" s="1"/>
  <c r="G21" i="7"/>
  <c r="J20" i="7"/>
  <c r="F21" i="7"/>
  <c r="H21" i="7" s="1"/>
  <c r="G61" i="7"/>
  <c r="F61" i="7"/>
  <c r="H61" i="7" s="1"/>
  <c r="J60" i="7"/>
  <c r="J52" i="7"/>
  <c r="G53" i="7"/>
  <c r="F53" i="7"/>
  <c r="H53" i="7" s="1"/>
  <c r="F37" i="7"/>
  <c r="H37" i="7" s="1"/>
  <c r="G37" i="7"/>
  <c r="J36" i="7"/>
  <c r="F55" i="7"/>
  <c r="H55" i="7" s="1"/>
  <c r="G55" i="7"/>
  <c r="J54" i="7"/>
  <c r="G26" i="7"/>
  <c r="J25" i="7"/>
  <c r="F26" i="7"/>
  <c r="H26" i="7" s="1"/>
  <c r="G12" i="7"/>
  <c r="G64" i="7"/>
  <c r="J63" i="7"/>
  <c r="F64" i="7"/>
  <c r="H64" i="7" s="1"/>
  <c r="J64" i="7"/>
  <c r="F63" i="7"/>
  <c r="H63" i="7" s="1"/>
  <c r="G63" i="7"/>
  <c r="J62" i="7"/>
  <c r="F62" i="7"/>
  <c r="H62" i="7" s="1"/>
  <c r="G62" i="7"/>
  <c r="J61" i="7"/>
  <c r="J30" i="7"/>
  <c r="F31" i="7"/>
  <c r="H31" i="7" s="1"/>
  <c r="G31" i="7"/>
  <c r="F35" i="7"/>
  <c r="H35" i="7" s="1"/>
  <c r="J34" i="7"/>
  <c r="M4" i="7" s="1"/>
  <c r="G35" i="7"/>
  <c r="J28" i="7"/>
  <c r="G29" i="7"/>
  <c r="F29" i="7"/>
  <c r="H29" i="7" s="1"/>
  <c r="G27" i="7"/>
  <c r="F27" i="7"/>
  <c r="H27" i="7" s="1"/>
  <c r="J26" i="7"/>
  <c r="J14" i="7"/>
  <c r="G15" i="7"/>
  <c r="F15" i="7"/>
  <c r="H15" i="7" s="1"/>
  <c r="J55" i="7"/>
  <c r="F56" i="7"/>
  <c r="H56" i="7" s="1"/>
  <c r="G56" i="7"/>
  <c r="F57" i="7"/>
  <c r="H57" i="7" s="1"/>
  <c r="G57" i="7"/>
  <c r="J56" i="7"/>
  <c r="N7" i="1" l="1"/>
  <c r="N37" i="11"/>
  <c r="O37" i="11" s="1"/>
  <c r="N46" i="11"/>
  <c r="O46" i="11" s="1"/>
  <c r="N26" i="11"/>
  <c r="O26" i="11" s="1"/>
  <c r="N23" i="11"/>
  <c r="O23" i="11" s="1"/>
  <c r="N36" i="11"/>
  <c r="O36" i="11" s="1"/>
  <c r="N47" i="11"/>
  <c r="O47" i="11" s="1"/>
  <c r="N50" i="11"/>
  <c r="O50" i="11" s="1"/>
  <c r="N41" i="11"/>
  <c r="O41" i="11" s="1"/>
  <c r="N21" i="11"/>
  <c r="O21" i="11" s="1"/>
  <c r="N58" i="11"/>
  <c r="O58" i="11" s="1"/>
  <c r="N53" i="11"/>
  <c r="O53" i="11" s="1"/>
  <c r="N25" i="11"/>
  <c r="O25" i="11" s="1"/>
  <c r="N56" i="11"/>
  <c r="O56" i="11" s="1"/>
  <c r="N55" i="11"/>
  <c r="O55" i="11" s="1"/>
  <c r="N29" i="11"/>
  <c r="O29" i="11" s="1"/>
  <c r="N40" i="11"/>
  <c r="O40" i="11" s="1"/>
  <c r="N30" i="11"/>
  <c r="O30" i="11" s="1"/>
  <c r="N45" i="11"/>
  <c r="O45" i="11" s="1"/>
  <c r="N20" i="11"/>
  <c r="O20" i="11" s="1"/>
  <c r="M7" i="9"/>
  <c r="N61" i="9" s="1"/>
  <c r="O61" i="9" s="1"/>
  <c r="N24" i="11"/>
  <c r="O24" i="11" s="1"/>
  <c r="M7" i="10"/>
  <c r="N61" i="10" s="1"/>
  <c r="O61" i="10" s="1"/>
  <c r="M7" i="7"/>
  <c r="N61" i="11"/>
  <c r="O61" i="11" s="1"/>
  <c r="N34" i="11"/>
  <c r="O34" i="11" s="1"/>
  <c r="N13" i="11"/>
  <c r="O13" i="11" s="1"/>
  <c r="N15" i="11"/>
  <c r="O15" i="11" s="1"/>
  <c r="N63" i="11"/>
  <c r="O63" i="11" s="1"/>
  <c r="N38" i="11"/>
  <c r="O38" i="11" s="1"/>
  <c r="N60" i="11"/>
  <c r="O60" i="11" s="1"/>
  <c r="N19" i="11"/>
  <c r="O19" i="11" s="1"/>
  <c r="N52" i="11"/>
  <c r="O52" i="11" s="1"/>
  <c r="N14" i="11"/>
  <c r="O14" i="11" s="1"/>
  <c r="N32" i="11"/>
  <c r="N22" i="11"/>
  <c r="O22" i="11" s="1"/>
  <c r="N31" i="11"/>
  <c r="O31" i="11" s="1"/>
  <c r="N57" i="11"/>
  <c r="O57" i="11" s="1"/>
  <c r="N35" i="11"/>
  <c r="O35" i="11" s="1"/>
  <c r="N12" i="11"/>
  <c r="O12" i="11" s="1"/>
  <c r="N49" i="11"/>
  <c r="O49" i="11" s="1"/>
  <c r="N16" i="11"/>
  <c r="O16" i="11" s="1"/>
  <c r="N27" i="11"/>
  <c r="O27" i="11" s="1"/>
  <c r="N17" i="11"/>
  <c r="O17" i="11" s="1"/>
  <c r="N28" i="11"/>
  <c r="O28" i="11" s="1"/>
  <c r="N54" i="11"/>
  <c r="O54" i="11" s="1"/>
  <c r="N64" i="11"/>
  <c r="O64" i="11" s="1"/>
  <c r="N39" i="11"/>
  <c r="O39" i="11" s="1"/>
  <c r="N43" i="11"/>
  <c r="O43" i="11" s="1"/>
  <c r="N48" i="11"/>
  <c r="O48" i="11" s="1"/>
  <c r="N18" i="11"/>
  <c r="O18" i="11" s="1"/>
  <c r="N59" i="11"/>
  <c r="O59" i="11" s="1"/>
  <c r="N33" i="11"/>
  <c r="O33" i="11" s="1"/>
  <c r="N44" i="11"/>
  <c r="O44" i="11" s="1"/>
  <c r="N42" i="11"/>
  <c r="O42" i="11" s="1"/>
  <c r="N62" i="11"/>
  <c r="O62" i="11" s="1"/>
  <c r="L20" i="10"/>
  <c r="M20" i="10" s="1"/>
  <c r="L16" i="10"/>
  <c r="M16" i="10" s="1"/>
  <c r="L50" i="10"/>
  <c r="M50" i="10" s="1"/>
  <c r="L53" i="10"/>
  <c r="M53" i="10" s="1"/>
  <c r="L29" i="9"/>
  <c r="M29" i="9" s="1"/>
  <c r="L12" i="10"/>
  <c r="M12" i="10" s="1"/>
  <c r="L38" i="10"/>
  <c r="M38" i="10" s="1"/>
  <c r="L57" i="10"/>
  <c r="M57" i="10" s="1"/>
  <c r="L27" i="10"/>
  <c r="M27" i="10" s="1"/>
  <c r="L17" i="10"/>
  <c r="M17" i="10" s="1"/>
  <c r="L42" i="10"/>
  <c r="M42" i="10" s="1"/>
  <c r="L43" i="10"/>
  <c r="M43" i="10" s="1"/>
  <c r="L29" i="10"/>
  <c r="M29" i="10" s="1"/>
  <c r="L44" i="9"/>
  <c r="M44" i="9" s="1"/>
  <c r="L18" i="9"/>
  <c r="M18" i="9" s="1"/>
  <c r="L33" i="9"/>
  <c r="M33" i="9" s="1"/>
  <c r="L47" i="9"/>
  <c r="M47" i="9" s="1"/>
  <c r="L19" i="9"/>
  <c r="M19" i="9" s="1"/>
  <c r="L27" i="9"/>
  <c r="M27" i="9" s="1"/>
  <c r="L43" i="9"/>
  <c r="M43" i="9" s="1"/>
  <c r="L34" i="10"/>
  <c r="M34" i="10" s="1"/>
  <c r="L45" i="10"/>
  <c r="M45" i="10" s="1"/>
  <c r="L33" i="10"/>
  <c r="M33" i="10" s="1"/>
  <c r="L42" i="9"/>
  <c r="M42" i="9" s="1"/>
  <c r="L59" i="9"/>
  <c r="M59" i="9" s="1"/>
  <c r="L31" i="9"/>
  <c r="M31" i="9" s="1"/>
  <c r="L34" i="9"/>
  <c r="M34" i="9" s="1"/>
  <c r="L39" i="9"/>
  <c r="M39" i="9" s="1"/>
  <c r="L54" i="9"/>
  <c r="M54" i="9" s="1"/>
  <c r="L32" i="9"/>
  <c r="L41" i="10"/>
  <c r="M41" i="10" s="1"/>
  <c r="L63" i="9"/>
  <c r="M63" i="9" s="1"/>
  <c r="L46" i="9"/>
  <c r="M46" i="9" s="1"/>
  <c r="L58" i="9"/>
  <c r="M58" i="9" s="1"/>
  <c r="L23" i="9"/>
  <c r="M23" i="9" s="1"/>
  <c r="L13" i="10"/>
  <c r="M13" i="10" s="1"/>
  <c r="L40" i="9"/>
  <c r="M40" i="9" s="1"/>
  <c r="L25" i="9"/>
  <c r="M25" i="9" s="1"/>
  <c r="L17" i="9"/>
  <c r="M17" i="9" s="1"/>
  <c r="L16" i="9"/>
  <c r="M16" i="9" s="1"/>
  <c r="L41" i="9"/>
  <c r="M41" i="9" s="1"/>
  <c r="L57" i="9"/>
  <c r="M57" i="9" s="1"/>
  <c r="L14" i="9"/>
  <c r="M14" i="9" s="1"/>
  <c r="L36" i="9"/>
  <c r="M36" i="9" s="1"/>
  <c r="L48" i="9"/>
  <c r="M48" i="9" s="1"/>
  <c r="L37" i="9"/>
  <c r="M37" i="9" s="1"/>
  <c r="L22" i="9"/>
  <c r="M22" i="9" s="1"/>
  <c r="L49" i="10"/>
  <c r="M49" i="10" s="1"/>
  <c r="L15" i="9"/>
  <c r="M15" i="9" s="1"/>
  <c r="L48" i="10"/>
  <c r="M48" i="10" s="1"/>
  <c r="L28" i="10"/>
  <c r="M28" i="10" s="1"/>
  <c r="L63" i="10"/>
  <c r="M63" i="10" s="1"/>
  <c r="L47" i="10"/>
  <c r="M47" i="10" s="1"/>
  <c r="L55" i="9"/>
  <c r="M55" i="9" s="1"/>
  <c r="L53" i="9"/>
  <c r="M53" i="9" s="1"/>
  <c r="L51" i="9"/>
  <c r="M51" i="9" s="1"/>
  <c r="L36" i="10"/>
  <c r="M36" i="10" s="1"/>
  <c r="L24" i="10"/>
  <c r="M24" i="10" s="1"/>
  <c r="L23" i="10"/>
  <c r="M23" i="10" s="1"/>
  <c r="L61" i="10"/>
  <c r="M61" i="10" s="1"/>
  <c r="L38" i="9"/>
  <c r="M38" i="9" s="1"/>
  <c r="L13" i="9"/>
  <c r="M13" i="9" s="1"/>
  <c r="L20" i="9"/>
  <c r="M20" i="9" s="1"/>
  <c r="L24" i="9"/>
  <c r="M24" i="9" s="1"/>
  <c r="L56" i="9"/>
  <c r="M56" i="9" s="1"/>
  <c r="L56" i="10"/>
  <c r="M56" i="10" s="1"/>
  <c r="L40" i="10"/>
  <c r="M40" i="10" s="1"/>
  <c r="L37" i="10"/>
  <c r="M37" i="10" s="1"/>
  <c r="L39" i="10"/>
  <c r="M39" i="10" s="1"/>
  <c r="L30" i="10"/>
  <c r="M30" i="10" s="1"/>
  <c r="L28" i="9"/>
  <c r="M28" i="9" s="1"/>
  <c r="L12" i="9"/>
  <c r="M12" i="9" s="1"/>
  <c r="L32" i="10"/>
  <c r="L51" i="10"/>
  <c r="M51" i="10" s="1"/>
  <c r="L58" i="10"/>
  <c r="M58" i="10" s="1"/>
  <c r="L62" i="10"/>
  <c r="M62" i="10" s="1"/>
  <c r="L46" i="10"/>
  <c r="M46" i="10" s="1"/>
  <c r="L21" i="10"/>
  <c r="M21" i="10" s="1"/>
  <c r="L31" i="10"/>
  <c r="M31" i="10" s="1"/>
  <c r="L26" i="10"/>
  <c r="M26" i="10" s="1"/>
  <c r="L45" i="9"/>
  <c r="M45" i="9" s="1"/>
  <c r="L35" i="9"/>
  <c r="M35" i="9" s="1"/>
  <c r="L21" i="9"/>
  <c r="M21" i="9" s="1"/>
  <c r="L64" i="10"/>
  <c r="M64" i="10" s="1"/>
  <c r="L22" i="10"/>
  <c r="M22" i="10" s="1"/>
  <c r="L26" i="9"/>
  <c r="M26" i="9" s="1"/>
  <c r="L49" i="9"/>
  <c r="M49" i="9" s="1"/>
  <c r="L60" i="10"/>
  <c r="M60" i="10" s="1"/>
  <c r="L44" i="10"/>
  <c r="M44" i="10" s="1"/>
  <c r="L59" i="10"/>
  <c r="M59" i="10" s="1"/>
  <c r="L15" i="10"/>
  <c r="M15" i="10" s="1"/>
  <c r="L54" i="10"/>
  <c r="M54" i="10" s="1"/>
  <c r="L64" i="9"/>
  <c r="M64" i="9" s="1"/>
  <c r="L60" i="9"/>
  <c r="M60" i="9" s="1"/>
  <c r="L50" i="9"/>
  <c r="M50" i="9" s="1"/>
  <c r="L14" i="10"/>
  <c r="M14" i="10" s="1"/>
  <c r="L55" i="10"/>
  <c r="M55" i="10" s="1"/>
  <c r="L62" i="9"/>
  <c r="M62" i="9" s="1"/>
  <c r="L61" i="9"/>
  <c r="M61" i="9" s="1"/>
  <c r="L52" i="9"/>
  <c r="M52" i="9" s="1"/>
  <c r="L30" i="9"/>
  <c r="M30" i="9" s="1"/>
  <c r="L18" i="10"/>
  <c r="M18" i="10" s="1"/>
  <c r="L52" i="10"/>
  <c r="M52" i="10" s="1"/>
  <c r="L25" i="10"/>
  <c r="M25" i="10" s="1"/>
  <c r="L19" i="10"/>
  <c r="M19" i="10" s="1"/>
  <c r="L35" i="10"/>
  <c r="M35" i="10" s="1"/>
  <c r="J48" i="7"/>
  <c r="F49" i="7"/>
  <c r="H49" i="7" s="1"/>
  <c r="G49" i="7"/>
  <c r="F50" i="7"/>
  <c r="H50" i="7" s="1"/>
  <c r="M2" i="7"/>
  <c r="L32" i="7" s="1"/>
  <c r="M6" i="7"/>
  <c r="S5" i="1" s="1"/>
  <c r="J31" i="7"/>
  <c r="F32" i="7"/>
  <c r="H32" i="7" s="1"/>
  <c r="G32" i="7"/>
  <c r="F33" i="7"/>
  <c r="H33" i="7" s="1"/>
  <c r="J33" i="7"/>
  <c r="N60" i="9" l="1"/>
  <c r="O60" i="9" s="1"/>
  <c r="N18" i="9"/>
  <c r="O18" i="9" s="1"/>
  <c r="N52" i="9"/>
  <c r="O52" i="9" s="1"/>
  <c r="N13" i="9"/>
  <c r="O13" i="9" s="1"/>
  <c r="N25" i="9"/>
  <c r="O25" i="9" s="1"/>
  <c r="N62" i="9"/>
  <c r="O62" i="9" s="1"/>
  <c r="N62" i="10"/>
  <c r="O62" i="10" s="1"/>
  <c r="N28" i="10"/>
  <c r="O28" i="10" s="1"/>
  <c r="N50" i="10"/>
  <c r="O50" i="10" s="1"/>
  <c r="N40" i="10"/>
  <c r="O40" i="10" s="1"/>
  <c r="N46" i="10"/>
  <c r="O46" i="10" s="1"/>
  <c r="N38" i="10"/>
  <c r="O38" i="10" s="1"/>
  <c r="N33" i="10"/>
  <c r="O33" i="10" s="1"/>
  <c r="N20" i="10"/>
  <c r="O20" i="10" s="1"/>
  <c r="N17" i="10"/>
  <c r="O17" i="10" s="1"/>
  <c r="N57" i="10"/>
  <c r="O57" i="10" s="1"/>
  <c r="N23" i="10"/>
  <c r="O23" i="10" s="1"/>
  <c r="N27" i="10"/>
  <c r="O27" i="10" s="1"/>
  <c r="N63" i="10"/>
  <c r="O63" i="10" s="1"/>
  <c r="N35" i="10"/>
  <c r="O35" i="10" s="1"/>
  <c r="N59" i="10"/>
  <c r="O59" i="10" s="1"/>
  <c r="N56" i="10"/>
  <c r="O56" i="10" s="1"/>
  <c r="N30" i="10"/>
  <c r="O30" i="10" s="1"/>
  <c r="N31" i="10"/>
  <c r="O31" i="10" s="1"/>
  <c r="N14" i="10"/>
  <c r="O14" i="10" s="1"/>
  <c r="S6" i="1"/>
  <c r="S7" i="1" s="1"/>
  <c r="N37" i="10"/>
  <c r="O37" i="10" s="1"/>
  <c r="N12" i="10"/>
  <c r="O12" i="10" s="1"/>
  <c r="N64" i="10"/>
  <c r="O64" i="10" s="1"/>
  <c r="N34" i="9"/>
  <c r="O34" i="9" s="1"/>
  <c r="N13" i="10"/>
  <c r="O13" i="10" s="1"/>
  <c r="N51" i="9"/>
  <c r="O51" i="9" s="1"/>
  <c r="N56" i="9"/>
  <c r="O56" i="9" s="1"/>
  <c r="N52" i="10"/>
  <c r="O52" i="10" s="1"/>
  <c r="N34" i="10"/>
  <c r="O34" i="10" s="1"/>
  <c r="N42" i="10"/>
  <c r="O42" i="10" s="1"/>
  <c r="N25" i="10"/>
  <c r="O25" i="10" s="1"/>
  <c r="N42" i="9"/>
  <c r="O42" i="9" s="1"/>
  <c r="N47" i="10"/>
  <c r="O47" i="10" s="1"/>
  <c r="N26" i="10"/>
  <c r="O26" i="10" s="1"/>
  <c r="N21" i="10"/>
  <c r="O21" i="10" s="1"/>
  <c r="N41" i="10"/>
  <c r="O41" i="10" s="1"/>
  <c r="N45" i="9"/>
  <c r="O45" i="9" s="1"/>
  <c r="N36" i="10"/>
  <c r="O36" i="10" s="1"/>
  <c r="N32" i="10"/>
  <c r="N49" i="10"/>
  <c r="O49" i="10" s="1"/>
  <c r="N29" i="10"/>
  <c r="O29" i="10" s="1"/>
  <c r="N51" i="10"/>
  <c r="O51" i="10" s="1"/>
  <c r="N16" i="10"/>
  <c r="O16" i="10" s="1"/>
  <c r="N63" i="9"/>
  <c r="O63" i="9" s="1"/>
  <c r="N24" i="9"/>
  <c r="O24" i="9" s="1"/>
  <c r="N27" i="9"/>
  <c r="O27" i="9" s="1"/>
  <c r="N20" i="9"/>
  <c r="O20" i="9" s="1"/>
  <c r="N39" i="9"/>
  <c r="O39" i="9" s="1"/>
  <c r="N31" i="9"/>
  <c r="O31" i="9" s="1"/>
  <c r="N19" i="9"/>
  <c r="O19" i="9" s="1"/>
  <c r="N33" i="9"/>
  <c r="O33" i="9" s="1"/>
  <c r="N37" i="9"/>
  <c r="O37" i="9" s="1"/>
  <c r="N26" i="9"/>
  <c r="O26" i="9" s="1"/>
  <c r="N35" i="9"/>
  <c r="O35" i="9" s="1"/>
  <c r="N32" i="9"/>
  <c r="N38" i="9"/>
  <c r="O38" i="9" s="1"/>
  <c r="N12" i="9"/>
  <c r="O12" i="9" s="1"/>
  <c r="N44" i="9"/>
  <c r="O44" i="9" s="1"/>
  <c r="N30" i="9"/>
  <c r="O30" i="9" s="1"/>
  <c r="N50" i="9"/>
  <c r="O50" i="9" s="1"/>
  <c r="N28" i="9"/>
  <c r="O28" i="9" s="1"/>
  <c r="N58" i="9"/>
  <c r="O58" i="9" s="1"/>
  <c r="N36" i="9"/>
  <c r="O36" i="9" s="1"/>
  <c r="N14" i="9"/>
  <c r="O14" i="9" s="1"/>
  <c r="N49" i="9"/>
  <c r="O49" i="9" s="1"/>
  <c r="N17" i="9"/>
  <c r="O17" i="9" s="1"/>
  <c r="N41" i="9"/>
  <c r="O41" i="9" s="1"/>
  <c r="N21" i="9"/>
  <c r="O21" i="9" s="1"/>
  <c r="N54" i="10"/>
  <c r="O54" i="10" s="1"/>
  <c r="N39" i="10"/>
  <c r="O39" i="10" s="1"/>
  <c r="N55" i="10"/>
  <c r="O55" i="10" s="1"/>
  <c r="N59" i="9"/>
  <c r="O59" i="9" s="1"/>
  <c r="N22" i="9"/>
  <c r="O22" i="9" s="1"/>
  <c r="N16" i="9"/>
  <c r="O16" i="9" s="1"/>
  <c r="N43" i="9"/>
  <c r="O43" i="9" s="1"/>
  <c r="N18" i="10"/>
  <c r="O18" i="10" s="1"/>
  <c r="N60" i="10"/>
  <c r="O60" i="10" s="1"/>
  <c r="N23" i="9"/>
  <c r="O23" i="9" s="1"/>
  <c r="N64" i="9"/>
  <c r="O64" i="9" s="1"/>
  <c r="N54" i="9"/>
  <c r="O54" i="9" s="1"/>
  <c r="N48" i="9"/>
  <c r="O48" i="9" s="1"/>
  <c r="N46" i="9"/>
  <c r="O46" i="9" s="1"/>
  <c r="N44" i="10"/>
  <c r="O44" i="10" s="1"/>
  <c r="N15" i="9"/>
  <c r="O15" i="9" s="1"/>
  <c r="N57" i="9"/>
  <c r="O57" i="9" s="1"/>
  <c r="N48" i="10"/>
  <c r="O48" i="10" s="1"/>
  <c r="N22" i="10"/>
  <c r="O22" i="10" s="1"/>
  <c r="N19" i="10"/>
  <c r="O19" i="10" s="1"/>
  <c r="N40" i="9"/>
  <c r="O40" i="9" s="1"/>
  <c r="N47" i="9"/>
  <c r="O47" i="9" s="1"/>
  <c r="N43" i="10"/>
  <c r="O43" i="10" s="1"/>
  <c r="N55" i="9"/>
  <c r="O55" i="9" s="1"/>
  <c r="N58" i="10"/>
  <c r="O58" i="10" s="1"/>
  <c r="N15" i="10"/>
  <c r="O15" i="10" s="1"/>
  <c r="N53" i="9"/>
  <c r="O53" i="9" s="1"/>
  <c r="N29" i="9"/>
  <c r="O29" i="9" s="1"/>
  <c r="N53" i="10"/>
  <c r="O53" i="10" s="1"/>
  <c r="N45" i="10"/>
  <c r="O45" i="10" s="1"/>
  <c r="N24" i="10"/>
  <c r="O24" i="10" s="1"/>
  <c r="N49" i="7"/>
  <c r="O49" i="7" s="1"/>
  <c r="L49" i="7"/>
  <c r="M49" i="7" s="1"/>
  <c r="N32" i="7"/>
  <c r="L28" i="7"/>
  <c r="M28" i="7" s="1"/>
  <c r="L52" i="7"/>
  <c r="M52" i="7" s="1"/>
  <c r="L61" i="7"/>
  <c r="M61" i="7" s="1"/>
  <c r="L26" i="7"/>
  <c r="M26" i="7" s="1"/>
  <c r="L64" i="7"/>
  <c r="M64" i="7" s="1"/>
  <c r="L62" i="7"/>
  <c r="M62" i="7" s="1"/>
  <c r="N29" i="7"/>
  <c r="O29" i="7" s="1"/>
  <c r="N15" i="7"/>
  <c r="O15" i="7" s="1"/>
  <c r="N57" i="7"/>
  <c r="O57" i="7" s="1"/>
  <c r="N16" i="7"/>
  <c r="O16" i="7" s="1"/>
  <c r="N14" i="7"/>
  <c r="O14" i="7" s="1"/>
  <c r="N53" i="7"/>
  <c r="O53" i="7" s="1"/>
  <c r="N54" i="7"/>
  <c r="O54" i="7" s="1"/>
  <c r="N37" i="7"/>
  <c r="O37" i="7" s="1"/>
  <c r="N13" i="7"/>
  <c r="O13" i="7" s="1"/>
  <c r="N46" i="7"/>
  <c r="O46" i="7" s="1"/>
  <c r="N38" i="7"/>
  <c r="O38" i="7" s="1"/>
  <c r="N20" i="7"/>
  <c r="O20" i="7" s="1"/>
  <c r="N43" i="7"/>
  <c r="O43" i="7" s="1"/>
  <c r="N44" i="7"/>
  <c r="O44" i="7" s="1"/>
  <c r="N34" i="7"/>
  <c r="O34" i="7" s="1"/>
  <c r="N41" i="7"/>
  <c r="O41" i="7" s="1"/>
  <c r="N24" i="7"/>
  <c r="O24" i="7" s="1"/>
  <c r="N60" i="7"/>
  <c r="N30" i="7"/>
  <c r="O30" i="7" s="1"/>
  <c r="N22" i="7"/>
  <c r="O22" i="7" s="1"/>
  <c r="L60" i="7"/>
  <c r="N28" i="7"/>
  <c r="O28" i="7" s="1"/>
  <c r="N52" i="7"/>
  <c r="O52" i="7" s="1"/>
  <c r="N61" i="7"/>
  <c r="O61" i="7" s="1"/>
  <c r="N26" i="7"/>
  <c r="O26" i="7" s="1"/>
  <c r="N64" i="7"/>
  <c r="O64" i="7" s="1"/>
  <c r="N62" i="7"/>
  <c r="O62" i="7" s="1"/>
  <c r="L35" i="7"/>
  <c r="M35" i="7" s="1"/>
  <c r="L27" i="7"/>
  <c r="M27" i="7" s="1"/>
  <c r="L56" i="7"/>
  <c r="M56" i="7" s="1"/>
  <c r="L18" i="7"/>
  <c r="M18" i="7" s="1"/>
  <c r="N45" i="7"/>
  <c r="O45" i="7" s="1"/>
  <c r="L59" i="7"/>
  <c r="M59" i="7" s="1"/>
  <c r="L51" i="7"/>
  <c r="M51" i="7" s="1"/>
  <c r="L48" i="7"/>
  <c r="M48" i="7" s="1"/>
  <c r="L19" i="7"/>
  <c r="M19" i="7" s="1"/>
  <c r="L40" i="7"/>
  <c r="M40" i="7" s="1"/>
  <c r="L39" i="7"/>
  <c r="M39" i="7" s="1"/>
  <c r="L50" i="7"/>
  <c r="M50" i="7" s="1"/>
  <c r="L17" i="7"/>
  <c r="M17" i="7" s="1"/>
  <c r="L21" i="7"/>
  <c r="M21" i="7" s="1"/>
  <c r="L36" i="7"/>
  <c r="M36" i="7" s="1"/>
  <c r="L33" i="7"/>
  <c r="M33" i="7" s="1"/>
  <c r="L58" i="7"/>
  <c r="L42" i="7"/>
  <c r="M42" i="7" s="1"/>
  <c r="L23" i="7"/>
  <c r="M23" i="7" s="1"/>
  <c r="L30" i="7"/>
  <c r="M30" i="7" s="1"/>
  <c r="L25" i="7"/>
  <c r="L47" i="7"/>
  <c r="M47" i="7" s="1"/>
  <c r="L55" i="7"/>
  <c r="M55" i="7" s="1"/>
  <c r="L12" i="7"/>
  <c r="M12" i="7" s="1"/>
  <c r="L63" i="7"/>
  <c r="M63" i="7" s="1"/>
  <c r="L31" i="7"/>
  <c r="M31" i="7" s="1"/>
  <c r="N35" i="7"/>
  <c r="O35" i="7" s="1"/>
  <c r="N27" i="7"/>
  <c r="O27" i="7" s="1"/>
  <c r="N56" i="7"/>
  <c r="O56" i="7" s="1"/>
  <c r="N18" i="7"/>
  <c r="O18" i="7" s="1"/>
  <c r="L45" i="7"/>
  <c r="M45" i="7" s="1"/>
  <c r="N59" i="7"/>
  <c r="O59" i="7" s="1"/>
  <c r="N51" i="7"/>
  <c r="O51" i="7" s="1"/>
  <c r="N48" i="7"/>
  <c r="O48" i="7" s="1"/>
  <c r="N19" i="7"/>
  <c r="O19" i="7" s="1"/>
  <c r="N40" i="7"/>
  <c r="O40" i="7" s="1"/>
  <c r="N39" i="7"/>
  <c r="O39" i="7" s="1"/>
  <c r="N50" i="7"/>
  <c r="O50" i="7" s="1"/>
  <c r="N17" i="7"/>
  <c r="O17" i="7" s="1"/>
  <c r="N21" i="7"/>
  <c r="O21" i="7" s="1"/>
  <c r="L34" i="7"/>
  <c r="M34" i="7" s="1"/>
  <c r="N36" i="7"/>
  <c r="O36" i="7" s="1"/>
  <c r="N33" i="7"/>
  <c r="O33" i="7" s="1"/>
  <c r="N58" i="7"/>
  <c r="N42" i="7"/>
  <c r="O42" i="7" s="1"/>
  <c r="N23" i="7"/>
  <c r="O23" i="7" s="1"/>
  <c r="N25" i="7"/>
  <c r="N47" i="7"/>
  <c r="O47" i="7" s="1"/>
  <c r="N55" i="7"/>
  <c r="O55" i="7" s="1"/>
  <c r="N12" i="7"/>
  <c r="O12" i="7" s="1"/>
  <c r="N63" i="7"/>
  <c r="O63" i="7" s="1"/>
  <c r="N31" i="7"/>
  <c r="O31" i="7" s="1"/>
  <c r="L29" i="7"/>
  <c r="M29" i="7" s="1"/>
  <c r="L15" i="7"/>
  <c r="M15" i="7" s="1"/>
  <c r="L57" i="7"/>
  <c r="M57" i="7" s="1"/>
  <c r="L16" i="7"/>
  <c r="M16" i="7" s="1"/>
  <c r="L14" i="7"/>
  <c r="M14" i="7" s="1"/>
  <c r="L53" i="7"/>
  <c r="M53" i="7" s="1"/>
  <c r="L54" i="7"/>
  <c r="M54" i="7" s="1"/>
  <c r="L37" i="7"/>
  <c r="M37" i="7" s="1"/>
  <c r="L13" i="7"/>
  <c r="M13" i="7" s="1"/>
  <c r="L46" i="7"/>
  <c r="M46" i="7" s="1"/>
  <c r="L38" i="7"/>
  <c r="M38" i="7" s="1"/>
  <c r="L20" i="7"/>
  <c r="M20" i="7" s="1"/>
  <c r="L43" i="7"/>
  <c r="M43" i="7" s="1"/>
  <c r="L44" i="7"/>
  <c r="M44" i="7" s="1"/>
  <c r="L41" i="7"/>
  <c r="M41" i="7" s="1"/>
  <c r="L24" i="7"/>
  <c r="M24" i="7" s="1"/>
  <c r="L22" i="7"/>
  <c r="M22" i="7" s="1"/>
  <c r="O60" i="7" l="1"/>
  <c r="T15" i="1" s="1"/>
  <c r="S15" i="1"/>
  <c r="N14" i="1"/>
  <c r="M60" i="7"/>
  <c r="O15" i="1" s="1"/>
  <c r="N15" i="1"/>
  <c r="S16" i="1"/>
  <c r="S14" i="1"/>
  <c r="M58" i="7"/>
  <c r="N16" i="1"/>
  <c r="O25" i="7"/>
  <c r="T14" i="1" s="1"/>
  <c r="M25" i="7"/>
  <c r="O14" i="1" s="1"/>
  <c r="O58" i="7"/>
  <c r="T16" i="1" s="1"/>
  <c r="O16" i="1"/>
  <c r="L2" i="1" l="1"/>
</calcChain>
</file>

<file path=xl/sharedStrings.xml><?xml version="1.0" encoding="utf-8"?>
<sst xmlns="http://schemas.openxmlformats.org/spreadsheetml/2006/main" count="317" uniqueCount="94">
  <si>
    <t>ohms</t>
  </si>
  <si>
    <r>
      <t>T/</t>
    </r>
    <r>
      <rPr>
        <b/>
        <sz val="11"/>
        <color theme="1"/>
        <rFont val="Arial Narrow"/>
        <family val="2"/>
      </rPr>
      <t>°</t>
    </r>
    <r>
      <rPr>
        <b/>
        <sz val="11"/>
        <color theme="1"/>
        <rFont val="Calibri"/>
        <family val="2"/>
      </rPr>
      <t>C</t>
    </r>
  </si>
  <si>
    <t>V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</si>
  <si>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EXC</t>
    </r>
  </si>
  <si>
    <t>Constants</t>
  </si>
  <si>
    <t>Adjustable Variables</t>
  </si>
  <si>
    <t>Equations</t>
  </si>
  <si>
    <r>
      <t>R</t>
    </r>
    <r>
      <rPr>
        <vertAlign val="subscript"/>
        <sz val="11"/>
        <color theme="1"/>
        <rFont val="Calibri"/>
        <family val="2"/>
        <scheme val="minor"/>
      </rPr>
      <t>1</t>
    </r>
  </si>
  <si>
    <r>
      <t>R</t>
    </r>
    <r>
      <rPr>
        <vertAlign val="subscript"/>
        <sz val="11"/>
        <color theme="1"/>
        <rFont val="Calibri"/>
        <family val="2"/>
        <scheme val="minor"/>
      </rPr>
      <t>2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</si>
  <si>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RDT_0.5mA</t>
    </r>
    <r>
      <rPr>
        <b/>
        <sz val="11"/>
        <color theme="1"/>
        <rFont val="Calibri"/>
        <family val="2"/>
        <scheme val="minor"/>
      </rPr>
      <t xml:space="preserve"> = 0.5mA * R</t>
    </r>
    <r>
      <rPr>
        <b/>
        <vertAlign val="subscript"/>
        <sz val="11"/>
        <color theme="1"/>
        <rFont val="Calibri"/>
        <family val="2"/>
        <scheme val="minor"/>
      </rPr>
      <t>0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</si>
  <si>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drop</t>
    </r>
    <r>
      <rPr>
        <b/>
        <sz val="11"/>
        <color theme="1"/>
        <rFont val="Calibri"/>
        <family val="2"/>
        <scheme val="minor"/>
      </rPr>
      <t xml:space="preserve"> = V</t>
    </r>
    <r>
      <rPr>
        <b/>
        <vertAlign val="subscript"/>
        <sz val="11"/>
        <color theme="1"/>
        <rFont val="Calibri"/>
        <family val="2"/>
        <scheme val="minor"/>
      </rPr>
      <t>EXC</t>
    </r>
    <r>
      <rPr>
        <b/>
        <sz val="11"/>
        <color theme="1"/>
        <rFont val="Calibri"/>
        <family val="2"/>
        <scheme val="minor"/>
      </rPr>
      <t xml:space="preserve"> - V</t>
    </r>
    <r>
      <rPr>
        <b/>
        <vertAlign val="subscript"/>
        <sz val="11"/>
        <color theme="1"/>
        <rFont val="Calibri"/>
        <family val="2"/>
        <scheme val="minor"/>
      </rPr>
      <t>RTD_0.5mA</t>
    </r>
  </si>
  <si>
    <r>
      <t>@ R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= R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</si>
  <si>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 xml:space="preserve"> = V</t>
    </r>
    <r>
      <rPr>
        <b/>
        <vertAlign val="subscript"/>
        <sz val="11"/>
        <color theme="1"/>
        <rFont val="Calibri"/>
        <family val="2"/>
        <scheme val="minor"/>
      </rPr>
      <t>drop</t>
    </r>
    <r>
      <rPr>
        <b/>
        <sz val="11"/>
        <color theme="1"/>
        <rFont val="Calibri"/>
        <family val="2"/>
        <scheme val="minor"/>
      </rPr>
      <t xml:space="preserve"> / 2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</si>
  <si>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= V</t>
    </r>
    <r>
      <rPr>
        <b/>
        <vertAlign val="subscript"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>/0.5mA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</si>
  <si>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= R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</si>
  <si>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Decade Vals</t>
  </si>
  <si>
    <t>MINIMUMS</t>
  </si>
  <si>
    <t>mA</t>
  </si>
  <si>
    <r>
      <t>Ω/Ω/</t>
    </r>
    <r>
      <rPr>
        <i/>
        <sz val="11"/>
        <color theme="1"/>
        <rFont val="Arial Narrow"/>
        <family val="2"/>
      </rPr>
      <t>°C</t>
    </r>
  </si>
  <si>
    <t>Ω</t>
  </si>
  <si>
    <t>mV</t>
  </si>
  <si>
    <r>
      <rPr>
        <i/>
        <sz val="11"/>
        <color theme="1"/>
        <rFont val="Arial Narrow"/>
        <family val="2"/>
      </rPr>
      <t>°</t>
    </r>
    <r>
      <rPr>
        <i/>
        <sz val="11"/>
        <color theme="1"/>
        <rFont val="Calibri"/>
        <family val="2"/>
      </rPr>
      <t>C</t>
    </r>
  </si>
  <si>
    <r>
      <rPr>
        <b/>
        <sz val="11"/>
        <color theme="1"/>
        <rFont val="Calibri"/>
        <family val="2"/>
        <scheme val="minor"/>
      </rPr>
      <t>Temp</t>
    </r>
    <r>
      <rPr>
        <b/>
        <vertAlign val="subscript"/>
        <sz val="11"/>
        <color theme="1"/>
        <rFont val="Calibri"/>
        <family val="2"/>
        <scheme val="minor"/>
      </rPr>
      <t>Range</t>
    </r>
  </si>
  <si>
    <r>
      <t>mV/</t>
    </r>
    <r>
      <rPr>
        <i/>
        <sz val="11"/>
        <color theme="1"/>
        <rFont val="Arial Narrow"/>
        <family val="2"/>
      </rPr>
      <t>°</t>
    </r>
    <r>
      <rPr>
        <i/>
        <sz val="11"/>
        <color theme="1"/>
        <rFont val="Calibri"/>
        <family val="2"/>
      </rPr>
      <t>C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</si>
  <si>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RTD</t>
    </r>
    <r>
      <rPr>
        <b/>
        <sz val="11"/>
        <color theme="1"/>
        <rFont val="Calibri"/>
        <family val="2"/>
        <scheme val="minor"/>
      </rPr>
      <t xml:space="preserve"> (mV)</t>
    </r>
  </si>
  <si>
    <t>Initial EU</t>
  </si>
  <si>
    <r>
      <t>Sensitivity</t>
    </r>
    <r>
      <rPr>
        <b/>
        <vertAlign val="subscript"/>
        <sz val="11"/>
        <color theme="1"/>
        <rFont val="Calibri"/>
        <family val="2"/>
        <scheme val="minor"/>
      </rPr>
      <t>20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</si>
  <si>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RTD @ 20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</si>
  <si>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RTD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</si>
  <si>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RTD</t>
    </r>
    <r>
      <rPr>
        <b/>
        <sz val="11"/>
        <color theme="1"/>
        <rFont val="Calibri"/>
        <family val="2"/>
        <scheme val="minor"/>
      </rPr>
      <t xml:space="preserve"> (A)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</si>
  <si>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RTD</t>
    </r>
    <r>
      <rPr>
        <b/>
        <sz val="11"/>
        <color theme="1"/>
        <rFont val="Calibri"/>
        <family val="2"/>
        <scheme val="minor"/>
      </rPr>
      <t xml:space="preserve"> (mA)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</si>
  <si>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RTD mV</t>
    </r>
    <r>
      <rPr>
        <b/>
        <sz val="11"/>
        <color theme="1"/>
        <rFont val="Calibri"/>
        <family val="2"/>
        <scheme val="minor"/>
      </rPr>
      <t xml:space="preserve"> = R</t>
    </r>
    <r>
      <rPr>
        <b/>
        <vertAlign val="subscript"/>
        <sz val="11"/>
        <color theme="1"/>
        <rFont val="Calibri"/>
        <family val="2"/>
        <scheme val="minor"/>
      </rPr>
      <t>RTD</t>
    </r>
    <r>
      <rPr>
        <b/>
        <sz val="11"/>
        <color theme="1"/>
        <rFont val="Calibri"/>
        <family val="2"/>
        <scheme val="minor"/>
      </rPr>
      <t xml:space="preserve"> * i</t>
    </r>
    <r>
      <rPr>
        <b/>
        <vertAlign val="subscript"/>
        <sz val="11"/>
        <color theme="1"/>
        <rFont val="Calibri"/>
        <family val="2"/>
        <scheme val="minor"/>
      </rPr>
      <t>RTD (mA)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</si>
  <si>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RTD</t>
    </r>
    <r>
      <rPr>
        <b/>
        <sz val="11"/>
        <color theme="1"/>
        <rFont val="Calibri"/>
        <family val="2"/>
        <scheme val="minor"/>
      </rPr>
      <t xml:space="preserve"> = V</t>
    </r>
    <r>
      <rPr>
        <b/>
        <vertAlign val="subscript"/>
        <sz val="11"/>
        <color theme="1"/>
        <rFont val="Calibri"/>
        <family val="2"/>
        <scheme val="minor"/>
      </rPr>
      <t>EXC</t>
    </r>
    <r>
      <rPr>
        <b/>
        <sz val="11"/>
        <color theme="1"/>
        <rFont val="Calibri"/>
        <family val="2"/>
        <scheme val="minor"/>
      </rPr>
      <t xml:space="preserve">  / (R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+ R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+ R</t>
    </r>
    <r>
      <rPr>
        <b/>
        <vertAlign val="subscript"/>
        <sz val="11"/>
        <color theme="1"/>
        <rFont val="Calibri"/>
        <family val="2"/>
        <scheme val="minor"/>
      </rPr>
      <t>RTD</t>
    </r>
    <r>
      <rPr>
        <b/>
        <sz val="11"/>
        <color theme="1"/>
        <rFont val="Calibri"/>
        <family val="2"/>
        <scheme val="minor"/>
      </rPr>
      <t>)</t>
    </r>
  </si>
  <si>
    <r>
      <t>S</t>
    </r>
    <r>
      <rPr>
        <b/>
        <vertAlign val="subscript"/>
        <sz val="11"/>
        <color theme="1"/>
        <rFont val="Calibri"/>
        <family val="2"/>
        <scheme val="minor"/>
      </rPr>
      <t>BASE</t>
    </r>
    <r>
      <rPr>
        <b/>
        <sz val="11"/>
        <color theme="1"/>
        <rFont val="Calibri"/>
        <family val="2"/>
        <scheme val="minor"/>
      </rPr>
      <t xml:space="preserve"> (mV/</t>
    </r>
    <r>
      <rPr>
        <b/>
        <sz val="11"/>
        <color theme="1"/>
        <rFont val="Arial Narrow"/>
        <family val="2"/>
      </rPr>
      <t>°</t>
    </r>
    <r>
      <rPr>
        <b/>
        <sz val="11"/>
        <color theme="1"/>
        <rFont val="Calibri"/>
        <family val="2"/>
      </rPr>
      <t>C</t>
    </r>
    <r>
      <rPr>
        <b/>
        <sz val="11"/>
        <color theme="1"/>
        <rFont val="Calibri"/>
        <family val="2"/>
        <scheme val="minor"/>
      </rPr>
      <t>)</t>
    </r>
  </si>
  <si>
    <r>
      <t>S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(S</t>
    </r>
    <r>
      <rPr>
        <b/>
        <vertAlign val="subscript"/>
        <sz val="11"/>
        <color theme="1"/>
        <rFont val="Calibri"/>
        <family val="2"/>
        <scheme val="minor"/>
      </rPr>
      <t>BASE @(T+10)</t>
    </r>
    <r>
      <rPr>
        <b/>
        <sz val="11"/>
        <color theme="1"/>
        <rFont val="Calibri"/>
        <family val="2"/>
        <scheme val="minor"/>
      </rPr>
      <t xml:space="preserve"> - S</t>
    </r>
    <r>
      <rPr>
        <b/>
        <vertAlign val="subscript"/>
        <sz val="11"/>
        <color theme="1"/>
        <rFont val="Calibri"/>
        <family val="2"/>
        <scheme val="minor"/>
      </rPr>
      <t>BASE @(T-10)</t>
    </r>
    <r>
      <rPr>
        <b/>
        <sz val="11"/>
        <color theme="1"/>
        <rFont val="Calibri"/>
        <family val="2"/>
        <scheme val="minor"/>
      </rPr>
      <t>) /  ∆T</t>
    </r>
    <r>
      <rPr>
        <b/>
        <vertAlign val="subscript"/>
        <sz val="11"/>
        <color theme="1"/>
        <rFont val="Calibri"/>
        <family val="2"/>
        <scheme val="minor"/>
      </rPr>
      <t>(T-10) to (T+10)</t>
    </r>
  </si>
  <si>
    <r>
      <t>S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(mV/</t>
    </r>
    <r>
      <rPr>
        <b/>
        <sz val="11"/>
        <color theme="1"/>
        <rFont val="Arial Narrow"/>
        <family val="2"/>
      </rPr>
      <t>°</t>
    </r>
    <r>
      <rPr>
        <b/>
        <sz val="11"/>
        <color theme="1"/>
        <rFont val="Calibri"/>
        <family val="2"/>
      </rPr>
      <t>C</t>
    </r>
    <r>
      <rPr>
        <b/>
        <sz val="11"/>
        <color theme="1"/>
        <rFont val="Calibri"/>
        <family val="2"/>
        <scheme val="minor"/>
      </rPr>
      <t>)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</si>
  <si>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RTD 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</si>
  <si>
    <r>
      <t>∆V</t>
    </r>
    <r>
      <rPr>
        <b/>
        <vertAlign val="subscript"/>
        <sz val="11"/>
        <color theme="1"/>
        <rFont val="Calibri"/>
        <family val="2"/>
        <scheme val="minor"/>
      </rPr>
      <t>RTD 10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  <r>
      <rPr>
        <b/>
        <sz val="11"/>
        <color theme="1"/>
        <rFont val="Calibri"/>
        <family val="2"/>
        <scheme val="minor"/>
      </rPr>
      <t xml:space="preserve"> (mV)</t>
    </r>
  </si>
  <si>
    <r>
      <t>∆V</t>
    </r>
    <r>
      <rPr>
        <b/>
        <vertAlign val="subscript"/>
        <sz val="11"/>
        <color theme="1"/>
        <rFont val="Calibri"/>
        <family val="2"/>
        <scheme val="minor"/>
      </rPr>
      <t>20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  <r>
      <rPr>
        <b/>
        <sz val="11"/>
        <color theme="1"/>
        <rFont val="Calibri"/>
        <family val="2"/>
        <scheme val="minor"/>
      </rPr>
      <t xml:space="preserve"> (mV)</t>
    </r>
  </si>
  <si>
    <r>
      <t>S</t>
    </r>
    <r>
      <rPr>
        <b/>
        <vertAlign val="subscript"/>
        <sz val="11"/>
        <color theme="1"/>
        <rFont val="Calibri"/>
        <family val="2"/>
        <scheme val="minor"/>
      </rPr>
      <t>BASE</t>
    </r>
    <r>
      <rPr>
        <b/>
        <sz val="11"/>
        <color theme="1"/>
        <rFont val="Calibri"/>
        <family val="2"/>
        <scheme val="minor"/>
      </rPr>
      <t xml:space="preserve"> = V</t>
    </r>
    <r>
      <rPr>
        <b/>
        <vertAlign val="subscript"/>
        <sz val="11"/>
        <color theme="1"/>
        <rFont val="Calibri"/>
        <family val="2"/>
        <scheme val="minor"/>
      </rPr>
      <t>RTD 10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  <r>
      <rPr>
        <b/>
        <sz val="11"/>
        <color theme="1"/>
        <rFont val="Calibri"/>
        <family val="2"/>
        <scheme val="minor"/>
      </rPr>
      <t xml:space="preserve">  / ∆T</t>
    </r>
  </si>
  <si>
    <r>
      <t>Error</t>
    </r>
    <r>
      <rPr>
        <b/>
        <vertAlign val="subscript"/>
        <sz val="11"/>
        <color theme="1"/>
        <rFont val="Calibri"/>
        <family val="2"/>
        <scheme val="minor"/>
      </rPr>
      <t>T_calc @ 20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  <r>
      <rPr>
        <b/>
        <sz val="11"/>
        <color theme="1"/>
        <rFont val="Calibri"/>
        <family val="2"/>
        <scheme val="minor"/>
      </rPr>
      <t xml:space="preserve"> (%)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</si>
  <si>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calc</t>
    </r>
    <r>
      <rPr>
        <b/>
        <sz val="11"/>
        <color theme="1"/>
        <rFont val="Calibri"/>
        <family val="2"/>
        <scheme val="minor"/>
      </rPr>
      <t xml:space="preserve"> @ S</t>
    </r>
    <r>
      <rPr>
        <b/>
        <vertAlign val="subscript"/>
        <sz val="11"/>
        <color theme="1"/>
        <rFont val="Calibri"/>
        <family val="2"/>
        <scheme val="minor"/>
      </rPr>
      <t>mid</t>
    </r>
  </si>
  <si>
    <r>
      <t>Temp</t>
    </r>
    <r>
      <rPr>
        <b/>
        <vertAlign val="subscript"/>
        <sz val="11"/>
        <color theme="1"/>
        <rFont val="Calibri"/>
        <family val="2"/>
        <scheme val="minor"/>
      </rPr>
      <t>Mid</t>
    </r>
  </si>
  <si>
    <r>
      <t xml:space="preserve">Sensitivity </t>
    </r>
    <r>
      <rPr>
        <b/>
        <vertAlign val="subscript"/>
        <sz val="11"/>
        <color theme="1"/>
        <rFont val="Calibri"/>
        <family val="2"/>
        <scheme val="minor"/>
      </rPr>
      <t>@Mid</t>
    </r>
  </si>
  <si>
    <t>Sensitivity for T = 20°C</t>
  </si>
  <si>
    <t>Sensitivity for T = Mid-Range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</si>
  <si>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RTD @ Mid</t>
    </r>
  </si>
  <si>
    <r>
      <t>Temp</t>
    </r>
    <r>
      <rPr>
        <b/>
        <vertAlign val="subscript"/>
        <sz val="11"/>
        <color theme="1"/>
        <rFont val="Calibri"/>
        <family val="2"/>
        <scheme val="minor"/>
      </rPr>
      <t>ambient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</si>
  <si>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calc</t>
    </r>
    <r>
      <rPr>
        <b/>
        <sz val="11"/>
        <color theme="1"/>
        <rFont val="Calibri"/>
        <family val="2"/>
        <scheme val="minor"/>
      </rPr>
      <t xml:space="preserve"> for S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@ 20°C</t>
    </r>
  </si>
  <si>
    <r>
      <t>Error</t>
    </r>
    <r>
      <rPr>
        <b/>
        <vertAlign val="subscript"/>
        <sz val="11"/>
        <color theme="1"/>
        <rFont val="Calibri"/>
        <family val="2"/>
        <scheme val="minor"/>
      </rPr>
      <t>T_calc @ Mid</t>
    </r>
    <r>
      <rPr>
        <b/>
        <sz val="11"/>
        <color theme="1"/>
        <rFont val="Calibri"/>
        <family val="2"/>
        <scheme val="minor"/>
      </rPr>
      <t xml:space="preserve"> (%)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</si>
  <si>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LOW_adj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</si>
  <si>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HIGH_adj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</si>
  <si>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actual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</si>
  <si>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meas</t>
    </r>
  </si>
  <si>
    <t>% Error</t>
  </si>
  <si>
    <t>Measured Values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</si>
  <si>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RTD @ 0</t>
    </r>
    <r>
      <rPr>
        <b/>
        <vertAlign val="subscript"/>
        <sz val="11"/>
        <color theme="1"/>
        <rFont val="Arial Narrow"/>
        <family val="2"/>
      </rPr>
      <t>°</t>
    </r>
    <r>
      <rPr>
        <b/>
        <vertAlign val="subscript"/>
        <sz val="11"/>
        <color theme="1"/>
        <rFont val="Calibri"/>
        <family val="2"/>
      </rPr>
      <t>C</t>
    </r>
  </si>
  <si>
    <t>SOFTWARE SENSOR SETTING RESULTS HERE</t>
  </si>
  <si>
    <t>ENTER YOUR RTD VALUES HERE (BLUE FIELDS)</t>
  </si>
  <si>
    <r>
      <t>V</t>
    </r>
    <r>
      <rPr>
        <b/>
        <vertAlign val="subscript"/>
        <sz val="11"/>
        <color theme="0"/>
        <rFont val="Calibri"/>
        <family val="2"/>
        <scheme val="minor"/>
      </rPr>
      <t>EXC</t>
    </r>
  </si>
  <si>
    <r>
      <t>Temp</t>
    </r>
    <r>
      <rPr>
        <b/>
        <vertAlign val="subscript"/>
        <sz val="11"/>
        <color theme="0"/>
        <rFont val="Calibri"/>
        <family val="2"/>
        <scheme val="minor"/>
      </rPr>
      <t>Low</t>
    </r>
  </si>
  <si>
    <r>
      <t>Temp</t>
    </r>
    <r>
      <rPr>
        <b/>
        <vertAlign val="subscript"/>
        <sz val="11"/>
        <color theme="0"/>
        <rFont val="Calibri"/>
        <family val="2"/>
        <scheme val="minor"/>
      </rPr>
      <t>High</t>
    </r>
  </si>
  <si>
    <r>
      <t>R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@ 0</t>
    </r>
    <r>
      <rPr>
        <b/>
        <sz val="11"/>
        <color theme="0"/>
        <rFont val="Arial Narrow"/>
        <family val="2"/>
      </rPr>
      <t>°</t>
    </r>
    <r>
      <rPr>
        <b/>
        <sz val="11"/>
        <color theme="0"/>
        <rFont val="Calibri"/>
        <family val="2"/>
      </rPr>
      <t xml:space="preserve"> C</t>
    </r>
  </si>
  <si>
    <r>
      <t>R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Tolerance</t>
    </r>
  </si>
  <si>
    <t>∆T Information</t>
  </si>
  <si>
    <t>From RTD Table</t>
  </si>
  <si>
    <t>AMBIENT</t>
  </si>
  <si>
    <r>
      <t>0</t>
    </r>
    <r>
      <rPr>
        <b/>
        <sz val="11"/>
        <color theme="1"/>
        <rFont val="Arial Narrow"/>
        <family val="2"/>
      </rPr>
      <t>°</t>
    </r>
    <r>
      <rPr>
        <b/>
        <sz val="11"/>
        <color theme="1"/>
        <rFont val="Calibri"/>
        <family val="2"/>
      </rPr>
      <t>C</t>
    </r>
  </si>
  <si>
    <t>Remove Offset</t>
  </si>
  <si>
    <t>YES</t>
  </si>
  <si>
    <t>Check Offset</t>
  </si>
  <si>
    <t>Standard PT Values</t>
  </si>
  <si>
    <t>PT100</t>
  </si>
  <si>
    <t>PT500</t>
  </si>
  <si>
    <t>PT1000</t>
  </si>
  <si>
    <t>CUSTOM</t>
  </si>
  <si>
    <t>Custom</t>
  </si>
  <si>
    <r>
      <t>R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Custom</t>
    </r>
  </si>
  <si>
    <r>
      <t>R</t>
    </r>
    <r>
      <rPr>
        <b/>
        <vertAlign val="subscript"/>
        <sz val="11"/>
        <rFont val="Calibri"/>
        <family val="2"/>
        <scheme val="minor"/>
      </rPr>
      <t>coeff</t>
    </r>
  </si>
  <si>
    <t>Standard Temperature Coefficient</t>
  </si>
  <si>
    <t>Bridge Mode</t>
  </si>
  <si>
    <t>Proportional</t>
  </si>
  <si>
    <t>NO</t>
  </si>
  <si>
    <t>Zero Method</t>
  </si>
  <si>
    <t>Absolute Zero</t>
  </si>
  <si>
    <t>Other Sensor Settings</t>
  </si>
  <si>
    <t>CONNECTION DIAGRAM</t>
  </si>
  <si>
    <t>Full Bridge</t>
  </si>
  <si>
    <t>Desired Range/Capacity</t>
  </si>
  <si>
    <r>
      <t>T</t>
    </r>
    <r>
      <rPr>
        <b/>
        <vertAlign val="subscript"/>
        <sz val="11"/>
        <color theme="1"/>
        <rFont val="Calibri"/>
        <family val="2"/>
        <scheme val="minor"/>
      </rPr>
      <t>MID_adj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</si>
  <si>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2_0.5mA_calc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</si>
  <si>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1_0.5mA_calc</t>
    </r>
  </si>
  <si>
    <r>
      <t>R</t>
    </r>
    <r>
      <rPr>
        <b/>
        <vertAlign val="subscript"/>
        <sz val="11"/>
        <color theme="0"/>
        <rFont val="Calibri"/>
        <family val="2"/>
        <scheme val="minor"/>
      </rPr>
      <t>2_des_std_value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</si>
  <si>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1_des_std_value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</si>
</sst>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11"/>
      <color theme="1"/>
      <name val="Arial Narrow"/>
      <family val="2"/>
    </font>
    <font>
      <b/>
      <vertAlign val="subscript"/>
      <sz val="11"/>
      <color theme="1"/>
      <name val="Arial Narrow"/>
      <family val="2"/>
    </font>
    <font>
      <b/>
      <vertAlign val="subscript"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/>
    <xf numFmtId="0" fontId="1" fillId="2" borderId="1" xfId="0" quotePrefix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quotePrefix="1" applyFont="1" applyFill="1" applyBorder="1" applyAlignment="1">
      <alignment horizontal="center" vertical="center"/>
    </xf>
    <xf numFmtId="0" fontId="7" fillId="0" borderId="0" xfId="0" applyFont="1"/>
    <xf numFmtId="165" fontId="0" fillId="0" borderId="23" xfId="0" applyNumberFormat="1" applyBorder="1"/>
    <xf numFmtId="165" fontId="0" fillId="0" borderId="30" xfId="0" applyNumberFormat="1" applyBorder="1"/>
    <xf numFmtId="165" fontId="0" fillId="0" borderId="25" xfId="0" applyNumberFormat="1" applyBorder="1"/>
    <xf numFmtId="165" fontId="0" fillId="0" borderId="25" xfId="0" applyNumberForma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1" fillId="2" borderId="0" xfId="0" applyFont="1" applyFill="1" applyAlignment="1">
      <alignment horizontal="center"/>
    </xf>
    <xf numFmtId="2" fontId="0" fillId="0" borderId="21" xfId="0" applyNumberForma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6" fillId="0" borderId="0" xfId="0" applyFont="1"/>
    <xf numFmtId="0" fontId="1" fillId="0" borderId="0" xfId="0" quotePrefix="1" applyFont="1"/>
    <xf numFmtId="1" fontId="0" fillId="0" borderId="0" xfId="0" applyNumberFormat="1"/>
    <xf numFmtId="0" fontId="1" fillId="0" borderId="38" xfId="0" applyFont="1" applyBorder="1"/>
    <xf numFmtId="0" fontId="6" fillId="0" borderId="47" xfId="0" applyFont="1" applyBorder="1"/>
    <xf numFmtId="0" fontId="0" fillId="0" borderId="38" xfId="0" applyBorder="1"/>
    <xf numFmtId="0" fontId="0" fillId="0" borderId="47" xfId="0" applyBorder="1"/>
    <xf numFmtId="0" fontId="1" fillId="0" borderId="45" xfId="0" applyFont="1" applyBorder="1"/>
    <xf numFmtId="0" fontId="1" fillId="0" borderId="46" xfId="0" applyFont="1" applyBorder="1"/>
    <xf numFmtId="0" fontId="0" fillId="0" borderId="46" xfId="0" applyBorder="1"/>
    <xf numFmtId="1" fontId="0" fillId="0" borderId="46" xfId="0" applyNumberFormat="1" applyBorder="1"/>
    <xf numFmtId="0" fontId="6" fillId="0" borderId="46" xfId="0" applyFont="1" applyBorder="1"/>
    <xf numFmtId="0" fontId="0" fillId="0" borderId="20" xfId="0" applyBorder="1"/>
    <xf numFmtId="0" fontId="1" fillId="0" borderId="38" xfId="0" applyFont="1" applyBorder="1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8" fillId="0" borderId="47" xfId="0" applyFont="1" applyBorder="1" applyAlignment="1" applyProtection="1">
      <alignment horizontal="center"/>
      <protection locked="0"/>
    </xf>
    <xf numFmtId="0" fontId="0" fillId="0" borderId="45" xfId="0" applyBorder="1"/>
    <xf numFmtId="165" fontId="0" fillId="0" borderId="23" xfId="0" applyNumberFormat="1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165" fontId="0" fillId="0" borderId="26" xfId="0" applyNumberFormat="1" applyBorder="1"/>
    <xf numFmtId="165" fontId="0" fillId="0" borderId="28" xfId="0" applyNumberFormat="1" applyBorder="1"/>
    <xf numFmtId="165" fontId="0" fillId="0" borderId="30" xfId="0" applyNumberFormat="1" applyBorder="1" applyAlignment="1">
      <alignment horizontal="center" vertical="center"/>
    </xf>
    <xf numFmtId="165" fontId="0" fillId="0" borderId="31" xfId="0" applyNumberFormat="1" applyBorder="1"/>
    <xf numFmtId="0" fontId="0" fillId="0" borderId="23" xfId="0" applyBorder="1" applyProtection="1">
      <protection locked="0"/>
    </xf>
    <xf numFmtId="2" fontId="0" fillId="7" borderId="27" xfId="0" applyNumberFormat="1" applyFill="1" applyBorder="1" applyAlignment="1">
      <alignment horizontal="center"/>
    </xf>
    <xf numFmtId="165" fontId="0" fillId="7" borderId="23" xfId="0" applyNumberFormat="1" applyFill="1" applyBorder="1" applyAlignment="1">
      <alignment horizontal="center"/>
    </xf>
    <xf numFmtId="165" fontId="0" fillId="7" borderId="23" xfId="0" applyNumberFormat="1" applyFill="1" applyBorder="1" applyAlignment="1">
      <alignment horizontal="center" vertical="center"/>
    </xf>
    <xf numFmtId="165" fontId="0" fillId="7" borderId="23" xfId="0" applyNumberFormat="1" applyFill="1" applyBorder="1"/>
    <xf numFmtId="165" fontId="0" fillId="7" borderId="28" xfId="0" applyNumberFormat="1" applyFill="1" applyBorder="1"/>
    <xf numFmtId="2" fontId="0" fillId="9" borderId="27" xfId="0" applyNumberFormat="1" applyFill="1" applyBorder="1" applyAlignment="1">
      <alignment horizontal="center"/>
    </xf>
    <xf numFmtId="165" fontId="0" fillId="9" borderId="23" xfId="0" applyNumberFormat="1" applyFill="1" applyBorder="1" applyAlignment="1">
      <alignment horizontal="center"/>
    </xf>
    <xf numFmtId="165" fontId="0" fillId="9" borderId="23" xfId="0" applyNumberFormat="1" applyFill="1" applyBorder="1" applyAlignment="1">
      <alignment horizontal="center" vertical="center"/>
    </xf>
    <xf numFmtId="165" fontId="0" fillId="9" borderId="23" xfId="0" applyNumberFormat="1" applyFill="1" applyBorder="1"/>
    <xf numFmtId="165" fontId="0" fillId="9" borderId="28" xfId="0" applyNumberFormat="1" applyFill="1" applyBorder="1"/>
    <xf numFmtId="1" fontId="0" fillId="0" borderId="23" xfId="0" applyNumberFormat="1" applyBorder="1" applyProtection="1">
      <protection locked="0"/>
    </xf>
    <xf numFmtId="0" fontId="12" fillId="8" borderId="27" xfId="0" applyFont="1" applyFill="1" applyBorder="1"/>
    <xf numFmtId="0" fontId="0" fillId="0" borderId="23" xfId="0" applyBorder="1"/>
    <xf numFmtId="0" fontId="6" fillId="0" borderId="23" xfId="0" applyFont="1" applyBorder="1" applyAlignment="1">
      <alignment horizontal="center"/>
    </xf>
    <xf numFmtId="0" fontId="12" fillId="8" borderId="23" xfId="0" applyFont="1" applyFill="1" applyBorder="1"/>
    <xf numFmtId="0" fontId="1" fillId="6" borderId="23" xfId="0" applyFont="1" applyFill="1" applyBorder="1"/>
    <xf numFmtId="0" fontId="6" fillId="0" borderId="28" xfId="0" applyFont="1" applyBorder="1" applyAlignment="1">
      <alignment horizontal="center"/>
    </xf>
    <xf numFmtId="0" fontId="18" fillId="0" borderId="0" xfId="0" applyFont="1"/>
    <xf numFmtId="0" fontId="8" fillId="0" borderId="23" xfId="0" applyFont="1" applyBorder="1" applyAlignment="1">
      <alignment horizontal="center"/>
    </xf>
    <xf numFmtId="0" fontId="0" fillId="0" borderId="0" xfId="0" quotePrefix="1"/>
    <xf numFmtId="0" fontId="1" fillId="6" borderId="27" xfId="0" applyFont="1" applyFill="1" applyBorder="1" applyAlignment="1">
      <alignment horizontal="right"/>
    </xf>
    <xf numFmtId="1" fontId="0" fillId="0" borderId="23" xfId="0" applyNumberFormat="1" applyBorder="1"/>
    <xf numFmtId="0" fontId="19" fillId="2" borderId="29" xfId="0" applyFont="1" applyFill="1" applyBorder="1" applyAlignment="1">
      <alignment horizontal="center"/>
    </xf>
    <xf numFmtId="164" fontId="0" fillId="0" borderId="0" xfId="0" applyNumberFormat="1"/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56" xfId="0" applyBorder="1" applyProtection="1">
      <protection locked="0"/>
    </xf>
    <xf numFmtId="0" fontId="1" fillId="0" borderId="0" xfId="0" applyFont="1" applyAlignment="1">
      <alignment horizontal="center" vertical="center"/>
    </xf>
    <xf numFmtId="0" fontId="1" fillId="2" borderId="15" xfId="0" quotePrefix="1" applyFont="1" applyFill="1" applyBorder="1" applyAlignment="1">
      <alignment horizontal="center" vertical="center"/>
    </xf>
    <xf numFmtId="0" fontId="1" fillId="2" borderId="17" xfId="0" quotePrefix="1" applyFont="1" applyFill="1" applyBorder="1" applyAlignment="1">
      <alignment horizontal="center" vertical="center"/>
    </xf>
    <xf numFmtId="2" fontId="0" fillId="0" borderId="0" xfId="0" applyNumberFormat="1"/>
    <xf numFmtId="0" fontId="1" fillId="2" borderId="1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23" xfId="0" quotePrefix="1" applyBorder="1" applyProtection="1">
      <protection locked="0"/>
    </xf>
    <xf numFmtId="0" fontId="12" fillId="3" borderId="6" xfId="0" applyFont="1" applyFill="1" applyBorder="1"/>
    <xf numFmtId="0" fontId="0" fillId="0" borderId="35" xfId="0" applyBorder="1"/>
    <xf numFmtId="0" fontId="8" fillId="0" borderId="35" xfId="0" applyFont="1" applyBorder="1" applyAlignment="1">
      <alignment horizontal="center"/>
    </xf>
    <xf numFmtId="0" fontId="12" fillId="4" borderId="44" xfId="0" applyFont="1" applyFill="1" applyBorder="1"/>
    <xf numFmtId="0" fontId="8" fillId="0" borderId="36" xfId="0" applyFont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0" fillId="0" borderId="51" xfId="0" applyBorder="1"/>
    <xf numFmtId="0" fontId="8" fillId="0" borderId="48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4" fillId="6" borderId="49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2" fontId="0" fillId="0" borderId="49" xfId="0" applyNumberFormat="1" applyBorder="1"/>
    <xf numFmtId="0" fontId="0" fillId="0" borderId="28" xfId="0" applyBorder="1"/>
    <xf numFmtId="0" fontId="1" fillId="6" borderId="29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0" xfId="0" applyBorder="1"/>
    <xf numFmtId="2" fontId="0" fillId="0" borderId="54" xfId="0" applyNumberFormat="1" applyBorder="1"/>
    <xf numFmtId="0" fontId="12" fillId="4" borderId="56" xfId="0" applyFont="1" applyFill="1" applyBorder="1"/>
    <xf numFmtId="0" fontId="1" fillId="6" borderId="34" xfId="0" applyFont="1" applyFill="1" applyBorder="1" applyAlignment="1">
      <alignment horizontal="center"/>
    </xf>
    <xf numFmtId="0" fontId="0" fillId="0" borderId="31" xfId="0" applyBorder="1"/>
    <xf numFmtId="0" fontId="12" fillId="6" borderId="44" xfId="0" applyFont="1" applyFill="1" applyBorder="1"/>
    <xf numFmtId="0" fontId="12" fillId="6" borderId="56" xfId="0" applyFont="1" applyFill="1" applyBorder="1"/>
    <xf numFmtId="0" fontId="21" fillId="11" borderId="10" xfId="0" applyFont="1" applyFill="1" applyBorder="1" applyAlignment="1">
      <alignment horizontal="center"/>
    </xf>
    <xf numFmtId="0" fontId="21" fillId="11" borderId="11" xfId="0" applyFont="1" applyFill="1" applyBorder="1" applyAlignment="1">
      <alignment horizontal="center"/>
    </xf>
    <xf numFmtId="0" fontId="21" fillId="11" borderId="12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8" fillId="0" borderId="57" xfId="0" applyFont="1" applyBorder="1" applyAlignment="1">
      <alignment horizontal="left" vertical="center" indent="1"/>
    </xf>
    <xf numFmtId="0" fontId="8" fillId="0" borderId="46" xfId="0" applyFont="1" applyBorder="1" applyAlignment="1">
      <alignment horizontal="left" vertical="center" indent="1"/>
    </xf>
    <xf numFmtId="0" fontId="8" fillId="0" borderId="20" xfId="0" applyFont="1" applyBorder="1" applyAlignment="1">
      <alignment horizontal="left" vertical="center" indent="1"/>
    </xf>
    <xf numFmtId="0" fontId="1" fillId="10" borderId="13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0" borderId="48" xfId="0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2" xfId="0" applyBorder="1" applyAlignment="1">
      <alignment horizontal="center"/>
    </xf>
    <xf numFmtId="0" fontId="13" fillId="4" borderId="40" xfId="0" applyFont="1" applyFill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13" fillId="4" borderId="33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10" borderId="27" xfId="0" applyFont="1" applyFill="1" applyBorder="1" applyAlignment="1">
      <alignment horizontal="center"/>
    </xf>
    <xf numFmtId="0" fontId="1" fillId="10" borderId="23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53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" fillId="10" borderId="2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61" xfId="0" applyBorder="1" applyAlignment="1">
      <alignment horizontal="center"/>
    </xf>
    <xf numFmtId="0" fontId="6" fillId="0" borderId="49" xfId="0" applyFont="1" applyBorder="1" applyAlignment="1">
      <alignment horizontal="left" indent="1"/>
    </xf>
    <xf numFmtId="0" fontId="6" fillId="0" borderId="24" xfId="0" applyFont="1" applyBorder="1" applyAlignment="1">
      <alignment horizontal="left" indent="1"/>
    </xf>
    <xf numFmtId="0" fontId="6" fillId="0" borderId="42" xfId="0" applyFont="1" applyBorder="1" applyAlignment="1">
      <alignment horizontal="left" indent="1"/>
    </xf>
    <xf numFmtId="0" fontId="6" fillId="0" borderId="43" xfId="0" applyFont="1" applyBorder="1" applyAlignment="1">
      <alignment horizontal="left" indent="1"/>
    </xf>
    <xf numFmtId="0" fontId="12" fillId="3" borderId="10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" fillId="10" borderId="29" xfId="0" applyFont="1" applyFill="1" applyBorder="1" applyAlignment="1">
      <alignment horizontal="center"/>
    </xf>
    <xf numFmtId="0" fontId="1" fillId="10" borderId="30" xfId="0" applyFont="1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3" xfId="0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10" borderId="55" xfId="0" applyFont="1" applyFill="1" applyBorder="1" applyAlignment="1">
      <alignment horizontal="center"/>
    </xf>
    <xf numFmtId="0" fontId="1" fillId="10" borderId="51" xfId="0" applyFont="1" applyFill="1" applyBorder="1" applyAlignment="1">
      <alignment horizontal="center"/>
    </xf>
    <xf numFmtId="0" fontId="1" fillId="10" borderId="50" xfId="0" applyFont="1" applyFill="1" applyBorder="1" applyAlignment="1">
      <alignment horizontal="center"/>
    </xf>
    <xf numFmtId="0" fontId="14" fillId="5" borderId="21" xfId="0" applyFont="1" applyFill="1" applyBorder="1" applyAlignment="1">
      <alignment horizontal="center"/>
    </xf>
    <xf numFmtId="0" fontId="14" fillId="5" borderId="25" xfId="0" applyFont="1" applyFill="1" applyBorder="1" applyAlignment="1">
      <alignment horizontal="center"/>
    </xf>
    <xf numFmtId="0" fontId="14" fillId="5" borderId="26" xfId="0" applyFont="1" applyFill="1" applyBorder="1" applyAlignment="1">
      <alignment horizontal="center"/>
    </xf>
    <xf numFmtId="0" fontId="12" fillId="3" borderId="39" xfId="0" applyFont="1" applyFill="1" applyBorder="1" applyAlignment="1">
      <alignment horizontal="center"/>
    </xf>
    <xf numFmtId="0" fontId="12" fillId="3" borderId="58" xfId="0" applyFont="1" applyFill="1" applyBorder="1" applyAlignment="1">
      <alignment horizontal="center"/>
    </xf>
    <xf numFmtId="0" fontId="12" fillId="3" borderId="59" xfId="0" applyFont="1" applyFill="1" applyBorder="1" applyAlignment="1">
      <alignment horizontal="center"/>
    </xf>
    <xf numFmtId="0" fontId="5" fillId="6" borderId="55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2" fillId="3" borderId="27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6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2" fontId="0" fillId="0" borderId="22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 textRotation="90"/>
    </xf>
    <xf numFmtId="0" fontId="1" fillId="2" borderId="18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165" fontId="0" fillId="0" borderId="23" xfId="0" applyNumberFormat="1" applyBorder="1" applyAlignment="1">
      <alignment horizontal="center" vertical="center"/>
    </xf>
    <xf numFmtId="0" fontId="1" fillId="2" borderId="37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165" fontId="0" fillId="0" borderId="25" xfId="0" applyNumberFormat="1" applyBorder="1" applyAlignment="1">
      <alignment horizontal="center" vertical="center"/>
    </xf>
    <xf numFmtId="165" fontId="0" fillId="9" borderId="23" xfId="0" applyNumberFormat="1" applyFill="1" applyBorder="1" applyAlignment="1">
      <alignment horizontal="center" vertical="center"/>
    </xf>
    <xf numFmtId="165" fontId="0" fillId="7" borderId="23" xfId="0" applyNumberFormat="1" applyFill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22" xfId="0" applyNumberFormat="1" applyBorder="1" applyAlignment="1" applyProtection="1">
      <alignment horizontal="center"/>
      <protection locked="0"/>
    </xf>
    <xf numFmtId="2" fontId="0" fillId="0" borderId="25" xfId="0" applyNumberFormat="1" applyBorder="1" applyAlignment="1" applyProtection="1">
      <alignment horizontal="center"/>
      <protection locked="0"/>
    </xf>
    <xf numFmtId="2" fontId="0" fillId="0" borderId="26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42" xfId="0" applyNumberFormat="1" applyBorder="1" applyAlignment="1" applyProtection="1">
      <alignment horizontal="center"/>
      <protection locked="0"/>
    </xf>
    <xf numFmtId="2" fontId="0" fillId="0" borderId="43" xfId="0" applyNumberFormat="1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2" fontId="0" fillId="0" borderId="60" xfId="0" applyNumberFormat="1" applyBorder="1" applyAlignment="1" applyProtection="1">
      <alignment horizontal="center"/>
      <protection locked="0"/>
    </xf>
    <xf numFmtId="2" fontId="0" fillId="0" borderId="61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A8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Temperature at Sensitivity</a:t>
            </a:r>
            <a:endParaRPr lang="en-US" sz="1800" b="1" baseline="-25000">
              <a:latin typeface="Arial Narrow" panose="020B0606020202030204" pitchFamily="34" charset="0"/>
            </a:endParaRPr>
          </a:p>
          <a:p>
            <a:pPr>
              <a:defRPr sz="1800" b="1"/>
            </a:pPr>
            <a:r>
              <a:rPr lang="en-US" sz="1800" b="1"/>
              <a:t>R = R</a:t>
            </a:r>
            <a:r>
              <a:rPr lang="en-US" sz="1800" b="1" baseline="-25000"/>
              <a:t>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Linear Temperature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'PT100 Tables'!$A$12:$A$64</c:f>
              <c:numCache>
                <c:formatCode>General</c:formatCode>
                <c:ptCount val="53"/>
                <c:pt idx="0">
                  <c:v>-200</c:v>
                </c:pt>
                <c:pt idx="1">
                  <c:v>-190</c:v>
                </c:pt>
                <c:pt idx="2">
                  <c:v>-180</c:v>
                </c:pt>
                <c:pt idx="3">
                  <c:v>-170</c:v>
                </c:pt>
                <c:pt idx="4">
                  <c:v>-160</c:v>
                </c:pt>
                <c:pt idx="5">
                  <c:v>-150</c:v>
                </c:pt>
                <c:pt idx="6">
                  <c:v>-140</c:v>
                </c:pt>
                <c:pt idx="7">
                  <c:v>-130</c:v>
                </c:pt>
                <c:pt idx="8">
                  <c:v>-120</c:v>
                </c:pt>
                <c:pt idx="9">
                  <c:v>-110</c:v>
                </c:pt>
                <c:pt idx="10">
                  <c:v>-100</c:v>
                </c:pt>
                <c:pt idx="11">
                  <c:v>-90</c:v>
                </c:pt>
                <c:pt idx="12">
                  <c:v>-80</c:v>
                </c:pt>
                <c:pt idx="13">
                  <c:v>-70</c:v>
                </c:pt>
                <c:pt idx="14">
                  <c:v>-60</c:v>
                </c:pt>
                <c:pt idx="15">
                  <c:v>-50</c:v>
                </c:pt>
                <c:pt idx="16">
                  <c:v>-40</c:v>
                </c:pt>
                <c:pt idx="17">
                  <c:v>-30</c:v>
                </c:pt>
                <c:pt idx="18">
                  <c:v>-20</c:v>
                </c:pt>
                <c:pt idx="19">
                  <c:v>-10</c:v>
                </c:pt>
                <c:pt idx="20">
                  <c:v>0</c:v>
                </c:pt>
                <c:pt idx="21">
                  <c:v>10</c:v>
                </c:pt>
                <c:pt idx="22">
                  <c:v>20</c:v>
                </c:pt>
                <c:pt idx="23">
                  <c:v>30</c:v>
                </c:pt>
                <c:pt idx="24">
                  <c:v>40</c:v>
                </c:pt>
                <c:pt idx="25">
                  <c:v>50</c:v>
                </c:pt>
                <c:pt idx="26">
                  <c:v>60</c:v>
                </c:pt>
                <c:pt idx="27">
                  <c:v>70</c:v>
                </c:pt>
                <c:pt idx="28">
                  <c:v>80</c:v>
                </c:pt>
                <c:pt idx="29">
                  <c:v>90</c:v>
                </c:pt>
                <c:pt idx="30">
                  <c:v>100</c:v>
                </c:pt>
                <c:pt idx="31">
                  <c:v>110</c:v>
                </c:pt>
                <c:pt idx="32">
                  <c:v>120</c:v>
                </c:pt>
                <c:pt idx="33">
                  <c:v>130</c:v>
                </c:pt>
                <c:pt idx="34">
                  <c:v>140</c:v>
                </c:pt>
                <c:pt idx="35">
                  <c:v>150</c:v>
                </c:pt>
                <c:pt idx="36">
                  <c:v>160</c:v>
                </c:pt>
                <c:pt idx="37">
                  <c:v>170</c:v>
                </c:pt>
                <c:pt idx="38">
                  <c:v>180</c:v>
                </c:pt>
                <c:pt idx="39">
                  <c:v>190</c:v>
                </c:pt>
                <c:pt idx="40">
                  <c:v>200</c:v>
                </c:pt>
                <c:pt idx="41">
                  <c:v>210</c:v>
                </c:pt>
                <c:pt idx="42">
                  <c:v>220</c:v>
                </c:pt>
                <c:pt idx="43">
                  <c:v>230</c:v>
                </c:pt>
                <c:pt idx="44">
                  <c:v>240</c:v>
                </c:pt>
                <c:pt idx="45">
                  <c:v>250</c:v>
                </c:pt>
                <c:pt idx="46">
                  <c:v>260</c:v>
                </c:pt>
                <c:pt idx="47">
                  <c:v>270</c:v>
                </c:pt>
                <c:pt idx="48">
                  <c:v>280</c:v>
                </c:pt>
                <c:pt idx="49">
                  <c:v>290</c:v>
                </c:pt>
                <c:pt idx="50">
                  <c:v>300</c:v>
                </c:pt>
                <c:pt idx="51">
                  <c:v>310</c:v>
                </c:pt>
                <c:pt idx="52">
                  <c:v>320</c:v>
                </c:pt>
              </c:numCache>
            </c:numRef>
          </c:cat>
          <c:val>
            <c:numRef>
              <c:f>'PT100 Tables'!$A$12:$A$64</c:f>
              <c:numCache>
                <c:formatCode>General</c:formatCode>
                <c:ptCount val="53"/>
                <c:pt idx="0">
                  <c:v>-200</c:v>
                </c:pt>
                <c:pt idx="1">
                  <c:v>-190</c:v>
                </c:pt>
                <c:pt idx="2">
                  <c:v>-180</c:v>
                </c:pt>
                <c:pt idx="3">
                  <c:v>-170</c:v>
                </c:pt>
                <c:pt idx="4">
                  <c:v>-160</c:v>
                </c:pt>
                <c:pt idx="5">
                  <c:v>-150</c:v>
                </c:pt>
                <c:pt idx="6">
                  <c:v>-140</c:v>
                </c:pt>
                <c:pt idx="7">
                  <c:v>-130</c:v>
                </c:pt>
                <c:pt idx="8">
                  <c:v>-120</c:v>
                </c:pt>
                <c:pt idx="9">
                  <c:v>-110</c:v>
                </c:pt>
                <c:pt idx="10">
                  <c:v>-100</c:v>
                </c:pt>
                <c:pt idx="11">
                  <c:v>-90</c:v>
                </c:pt>
                <c:pt idx="12">
                  <c:v>-80</c:v>
                </c:pt>
                <c:pt idx="13">
                  <c:v>-70</c:v>
                </c:pt>
                <c:pt idx="14">
                  <c:v>-60</c:v>
                </c:pt>
                <c:pt idx="15">
                  <c:v>-50</c:v>
                </c:pt>
                <c:pt idx="16">
                  <c:v>-40</c:v>
                </c:pt>
                <c:pt idx="17">
                  <c:v>-30</c:v>
                </c:pt>
                <c:pt idx="18">
                  <c:v>-20</c:v>
                </c:pt>
                <c:pt idx="19">
                  <c:v>-10</c:v>
                </c:pt>
                <c:pt idx="20">
                  <c:v>0</c:v>
                </c:pt>
                <c:pt idx="21">
                  <c:v>10</c:v>
                </c:pt>
                <c:pt idx="22">
                  <c:v>20</c:v>
                </c:pt>
                <c:pt idx="23">
                  <c:v>30</c:v>
                </c:pt>
                <c:pt idx="24">
                  <c:v>40</c:v>
                </c:pt>
                <c:pt idx="25">
                  <c:v>50</c:v>
                </c:pt>
                <c:pt idx="26">
                  <c:v>60</c:v>
                </c:pt>
                <c:pt idx="27">
                  <c:v>70</c:v>
                </c:pt>
                <c:pt idx="28">
                  <c:v>80</c:v>
                </c:pt>
                <c:pt idx="29">
                  <c:v>90</c:v>
                </c:pt>
                <c:pt idx="30">
                  <c:v>100</c:v>
                </c:pt>
                <c:pt idx="31">
                  <c:v>110</c:v>
                </c:pt>
                <c:pt idx="32">
                  <c:v>120</c:v>
                </c:pt>
                <c:pt idx="33">
                  <c:v>130</c:v>
                </c:pt>
                <c:pt idx="34">
                  <c:v>140</c:v>
                </c:pt>
                <c:pt idx="35">
                  <c:v>150</c:v>
                </c:pt>
                <c:pt idx="36">
                  <c:v>160</c:v>
                </c:pt>
                <c:pt idx="37">
                  <c:v>170</c:v>
                </c:pt>
                <c:pt idx="38">
                  <c:v>180</c:v>
                </c:pt>
                <c:pt idx="39">
                  <c:v>190</c:v>
                </c:pt>
                <c:pt idx="40">
                  <c:v>200</c:v>
                </c:pt>
                <c:pt idx="41">
                  <c:v>210</c:v>
                </c:pt>
                <c:pt idx="42">
                  <c:v>220</c:v>
                </c:pt>
                <c:pt idx="43">
                  <c:v>230</c:v>
                </c:pt>
                <c:pt idx="44">
                  <c:v>240</c:v>
                </c:pt>
                <c:pt idx="45">
                  <c:v>250</c:v>
                </c:pt>
                <c:pt idx="46">
                  <c:v>260</c:v>
                </c:pt>
                <c:pt idx="47">
                  <c:v>270</c:v>
                </c:pt>
                <c:pt idx="48">
                  <c:v>280</c:v>
                </c:pt>
                <c:pt idx="49">
                  <c:v>290</c:v>
                </c:pt>
                <c:pt idx="50">
                  <c:v>300</c:v>
                </c:pt>
                <c:pt idx="51">
                  <c:v>310</c:v>
                </c:pt>
                <c:pt idx="52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B-4ADC-9B7F-6046D9C336D1}"/>
            </c:ext>
          </c:extLst>
        </c:ser>
        <c:ser>
          <c:idx val="1"/>
          <c:order val="1"/>
          <c:tx>
            <c:v>Sensitivity @ 20C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'PT100 Tables'!$A$12:$A$64</c:f>
              <c:numCache>
                <c:formatCode>General</c:formatCode>
                <c:ptCount val="53"/>
                <c:pt idx="0">
                  <c:v>-200</c:v>
                </c:pt>
                <c:pt idx="1">
                  <c:v>-190</c:v>
                </c:pt>
                <c:pt idx="2">
                  <c:v>-180</c:v>
                </c:pt>
                <c:pt idx="3">
                  <c:v>-170</c:v>
                </c:pt>
                <c:pt idx="4">
                  <c:v>-160</c:v>
                </c:pt>
                <c:pt idx="5">
                  <c:v>-150</c:v>
                </c:pt>
                <c:pt idx="6">
                  <c:v>-140</c:v>
                </c:pt>
                <c:pt idx="7">
                  <c:v>-130</c:v>
                </c:pt>
                <c:pt idx="8">
                  <c:v>-120</c:v>
                </c:pt>
                <c:pt idx="9">
                  <c:v>-110</c:v>
                </c:pt>
                <c:pt idx="10">
                  <c:v>-100</c:v>
                </c:pt>
                <c:pt idx="11">
                  <c:v>-90</c:v>
                </c:pt>
                <c:pt idx="12">
                  <c:v>-80</c:v>
                </c:pt>
                <c:pt idx="13">
                  <c:v>-70</c:v>
                </c:pt>
                <c:pt idx="14">
                  <c:v>-60</c:v>
                </c:pt>
                <c:pt idx="15">
                  <c:v>-50</c:v>
                </c:pt>
                <c:pt idx="16">
                  <c:v>-40</c:v>
                </c:pt>
                <c:pt idx="17">
                  <c:v>-30</c:v>
                </c:pt>
                <c:pt idx="18">
                  <c:v>-20</c:v>
                </c:pt>
                <c:pt idx="19">
                  <c:v>-10</c:v>
                </c:pt>
                <c:pt idx="20">
                  <c:v>0</c:v>
                </c:pt>
                <c:pt idx="21">
                  <c:v>10</c:v>
                </c:pt>
                <c:pt idx="22">
                  <c:v>20</c:v>
                </c:pt>
                <c:pt idx="23">
                  <c:v>30</c:v>
                </c:pt>
                <c:pt idx="24">
                  <c:v>40</c:v>
                </c:pt>
                <c:pt idx="25">
                  <c:v>50</c:v>
                </c:pt>
                <c:pt idx="26">
                  <c:v>60</c:v>
                </c:pt>
                <c:pt idx="27">
                  <c:v>70</c:v>
                </c:pt>
                <c:pt idx="28">
                  <c:v>80</c:v>
                </c:pt>
                <c:pt idx="29">
                  <c:v>90</c:v>
                </c:pt>
                <c:pt idx="30">
                  <c:v>100</c:v>
                </c:pt>
                <c:pt idx="31">
                  <c:v>110</c:v>
                </c:pt>
                <c:pt idx="32">
                  <c:v>120</c:v>
                </c:pt>
                <c:pt idx="33">
                  <c:v>130</c:v>
                </c:pt>
                <c:pt idx="34">
                  <c:v>140</c:v>
                </c:pt>
                <c:pt idx="35">
                  <c:v>150</c:v>
                </c:pt>
                <c:pt idx="36">
                  <c:v>160</c:v>
                </c:pt>
                <c:pt idx="37">
                  <c:v>170</c:v>
                </c:pt>
                <c:pt idx="38">
                  <c:v>180</c:v>
                </c:pt>
                <c:pt idx="39">
                  <c:v>190</c:v>
                </c:pt>
                <c:pt idx="40">
                  <c:v>200</c:v>
                </c:pt>
                <c:pt idx="41">
                  <c:v>210</c:v>
                </c:pt>
                <c:pt idx="42">
                  <c:v>220</c:v>
                </c:pt>
                <c:pt idx="43">
                  <c:v>230</c:v>
                </c:pt>
                <c:pt idx="44">
                  <c:v>240</c:v>
                </c:pt>
                <c:pt idx="45">
                  <c:v>250</c:v>
                </c:pt>
                <c:pt idx="46">
                  <c:v>260</c:v>
                </c:pt>
                <c:pt idx="47">
                  <c:v>270</c:v>
                </c:pt>
                <c:pt idx="48">
                  <c:v>280</c:v>
                </c:pt>
                <c:pt idx="49">
                  <c:v>290</c:v>
                </c:pt>
                <c:pt idx="50">
                  <c:v>300</c:v>
                </c:pt>
                <c:pt idx="51">
                  <c:v>310</c:v>
                </c:pt>
                <c:pt idx="52">
                  <c:v>320</c:v>
                </c:pt>
              </c:numCache>
            </c:numRef>
          </c:cat>
          <c:val>
            <c:numRef>
              <c:f>'PT100 Tables'!$L$12:$L$64</c:f>
              <c:numCache>
                <c:formatCode>0.00000</c:formatCode>
                <c:ptCount val="53"/>
                <c:pt idx="0">
                  <c:v>-211.76148844880942</c:v>
                </c:pt>
                <c:pt idx="1">
                  <c:v>-200.47382010816776</c:v>
                </c:pt>
                <c:pt idx="2">
                  <c:v>-189.30047871548012</c:v>
                </c:pt>
                <c:pt idx="3">
                  <c:v>-178.21505076148668</c:v>
                </c:pt>
                <c:pt idx="4">
                  <c:v>-167.24343733133799</c:v>
                </c:pt>
                <c:pt idx="5">
                  <c:v>-156.33318390780528</c:v>
                </c:pt>
                <c:pt idx="6">
                  <c:v>-145.48414870607149</c:v>
                </c:pt>
                <c:pt idx="7">
                  <c:v>-134.74828527683789</c:v>
                </c:pt>
                <c:pt idx="8">
                  <c:v>-124.04724824594661</c:v>
                </c:pt>
                <c:pt idx="9">
                  <c:v>-113.4329725387005</c:v>
                </c:pt>
                <c:pt idx="10">
                  <c:v>-102.85328995577774</c:v>
                </c:pt>
                <c:pt idx="11">
                  <c:v>-92.360052755936081</c:v>
                </c:pt>
                <c:pt idx="12">
                  <c:v>-81.901178670225164</c:v>
                </c:pt>
                <c:pt idx="13">
                  <c:v>-71.528438303203529</c:v>
                </c:pt>
                <c:pt idx="14">
                  <c:v>-61.163933268186319</c:v>
                </c:pt>
                <c:pt idx="15">
                  <c:v>-50.85941471425712</c:v>
                </c:pt>
                <c:pt idx="16">
                  <c:v>-40.614750305639838</c:v>
                </c:pt>
                <c:pt idx="17">
                  <c:v>-30.40396864255548</c:v>
                </c:pt>
                <c:pt idx="18">
                  <c:v>-20.226999587988406</c:v>
                </c:pt>
                <c:pt idx="19">
                  <c:v>-10.083773315490518</c:v>
                </c:pt>
                <c:pt idx="20">
                  <c:v>0</c:v>
                </c:pt>
                <c:pt idx="21">
                  <c:v>10.050209105852701</c:v>
                </c:pt>
                <c:pt idx="22">
                  <c:v>20.066922682513567</c:v>
                </c:pt>
                <c:pt idx="23">
                  <c:v>30.050209105852698</c:v>
                </c:pt>
                <c:pt idx="24">
                  <c:v>40.000136448425451</c:v>
                </c:pt>
                <c:pt idx="25">
                  <c:v>49.91677248072692</c:v>
                </c:pt>
                <c:pt idx="26">
                  <c:v>59.774523209673823</c:v>
                </c:pt>
                <c:pt idx="27">
                  <c:v>69.624798187901121</c:v>
                </c:pt>
                <c:pt idx="28">
                  <c:v>79.416360622652405</c:v>
                </c:pt>
                <c:pt idx="29">
                  <c:v>89.174938334018691</c:v>
                </c:pt>
                <c:pt idx="30">
                  <c:v>98.900597384243852</c:v>
                </c:pt>
                <c:pt idx="31">
                  <c:v>108.56783838686994</c:v>
                </c:pt>
                <c:pt idx="32">
                  <c:v>118.22787617268594</c:v>
                </c:pt>
                <c:pt idx="33">
                  <c:v>127.82966446824322</c:v>
                </c:pt>
                <c:pt idx="34">
                  <c:v>137.3988331083074</c:v>
                </c:pt>
                <c:pt idx="35">
                  <c:v>146.9609360367329</c:v>
                </c:pt>
                <c:pt idx="36">
                  <c:v>156.4395687012298</c:v>
                </c:pt>
                <c:pt idx="37">
                  <c:v>165.91126357696959</c:v>
                </c:pt>
                <c:pt idx="38">
                  <c:v>175.35059464529101</c:v>
                </c:pt>
                <c:pt idx="39">
                  <c:v>184.73220997209978</c:v>
                </c:pt>
                <c:pt idx="40">
                  <c:v>194.10702132154327</c:v>
                </c:pt>
                <c:pt idx="41">
                  <c:v>203.42427925079573</c:v>
                </c:pt>
                <c:pt idx="42">
                  <c:v>212.70946114041877</c:v>
                </c:pt>
                <c:pt idx="43">
                  <c:v>221.96262890857057</c:v>
                </c:pt>
                <c:pt idx="44">
                  <c:v>231.15852021105351</c:v>
                </c:pt>
                <c:pt idx="45">
                  <c:v>240.34786241446372</c:v>
                </c:pt>
                <c:pt idx="46">
                  <c:v>249.48008648285796</c:v>
                </c:pt>
                <c:pt idx="47">
                  <c:v>258.58057701087012</c:v>
                </c:pt>
                <c:pt idx="48">
                  <c:v>267.64939433588256</c:v>
                </c:pt>
                <c:pt idx="49">
                  <c:v>276.68659852412605</c:v>
                </c:pt>
                <c:pt idx="50">
                  <c:v>285.69224937174488</c:v>
                </c:pt>
                <c:pt idx="51">
                  <c:v>294.66640640585507</c:v>
                </c:pt>
                <c:pt idx="52">
                  <c:v>303.58394684434393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B-4ADC-9B7F-6046D9C336D1}"/>
            </c:ext>
          </c:extLst>
        </c:ser>
        <c:ser>
          <c:idx val="2"/>
          <c:order val="2"/>
          <c:tx>
            <c:v>Sensitivity @ Mid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'PT100 Tables'!$A$12:$A$64</c:f>
              <c:numCache>
                <c:formatCode>General</c:formatCode>
                <c:ptCount val="53"/>
                <c:pt idx="0">
                  <c:v>-200</c:v>
                </c:pt>
                <c:pt idx="1">
                  <c:v>-190</c:v>
                </c:pt>
                <c:pt idx="2">
                  <c:v>-180</c:v>
                </c:pt>
                <c:pt idx="3">
                  <c:v>-170</c:v>
                </c:pt>
                <c:pt idx="4">
                  <c:v>-160</c:v>
                </c:pt>
                <c:pt idx="5">
                  <c:v>-150</c:v>
                </c:pt>
                <c:pt idx="6">
                  <c:v>-140</c:v>
                </c:pt>
                <c:pt idx="7">
                  <c:v>-130</c:v>
                </c:pt>
                <c:pt idx="8">
                  <c:v>-120</c:v>
                </c:pt>
                <c:pt idx="9">
                  <c:v>-110</c:v>
                </c:pt>
                <c:pt idx="10">
                  <c:v>-100</c:v>
                </c:pt>
                <c:pt idx="11">
                  <c:v>-90</c:v>
                </c:pt>
                <c:pt idx="12">
                  <c:v>-80</c:v>
                </c:pt>
                <c:pt idx="13">
                  <c:v>-70</c:v>
                </c:pt>
                <c:pt idx="14">
                  <c:v>-60</c:v>
                </c:pt>
                <c:pt idx="15">
                  <c:v>-50</c:v>
                </c:pt>
                <c:pt idx="16">
                  <c:v>-40</c:v>
                </c:pt>
                <c:pt idx="17">
                  <c:v>-30</c:v>
                </c:pt>
                <c:pt idx="18">
                  <c:v>-20</c:v>
                </c:pt>
                <c:pt idx="19">
                  <c:v>-10</c:v>
                </c:pt>
                <c:pt idx="20">
                  <c:v>0</c:v>
                </c:pt>
                <c:pt idx="21">
                  <c:v>10</c:v>
                </c:pt>
                <c:pt idx="22">
                  <c:v>20</c:v>
                </c:pt>
                <c:pt idx="23">
                  <c:v>30</c:v>
                </c:pt>
                <c:pt idx="24">
                  <c:v>40</c:v>
                </c:pt>
                <c:pt idx="25">
                  <c:v>50</c:v>
                </c:pt>
                <c:pt idx="26">
                  <c:v>60</c:v>
                </c:pt>
                <c:pt idx="27">
                  <c:v>70</c:v>
                </c:pt>
                <c:pt idx="28">
                  <c:v>80</c:v>
                </c:pt>
                <c:pt idx="29">
                  <c:v>90</c:v>
                </c:pt>
                <c:pt idx="30">
                  <c:v>100</c:v>
                </c:pt>
                <c:pt idx="31">
                  <c:v>110</c:v>
                </c:pt>
                <c:pt idx="32">
                  <c:v>120</c:v>
                </c:pt>
                <c:pt idx="33">
                  <c:v>130</c:v>
                </c:pt>
                <c:pt idx="34">
                  <c:v>140</c:v>
                </c:pt>
                <c:pt idx="35">
                  <c:v>150</c:v>
                </c:pt>
                <c:pt idx="36">
                  <c:v>160</c:v>
                </c:pt>
                <c:pt idx="37">
                  <c:v>170</c:v>
                </c:pt>
                <c:pt idx="38">
                  <c:v>180</c:v>
                </c:pt>
                <c:pt idx="39">
                  <c:v>190</c:v>
                </c:pt>
                <c:pt idx="40">
                  <c:v>200</c:v>
                </c:pt>
                <c:pt idx="41">
                  <c:v>210</c:v>
                </c:pt>
                <c:pt idx="42">
                  <c:v>220</c:v>
                </c:pt>
                <c:pt idx="43">
                  <c:v>230</c:v>
                </c:pt>
                <c:pt idx="44">
                  <c:v>240</c:v>
                </c:pt>
                <c:pt idx="45">
                  <c:v>250</c:v>
                </c:pt>
                <c:pt idx="46">
                  <c:v>260</c:v>
                </c:pt>
                <c:pt idx="47">
                  <c:v>270</c:v>
                </c:pt>
                <c:pt idx="48">
                  <c:v>280</c:v>
                </c:pt>
                <c:pt idx="49">
                  <c:v>290</c:v>
                </c:pt>
                <c:pt idx="50">
                  <c:v>300</c:v>
                </c:pt>
                <c:pt idx="51">
                  <c:v>310</c:v>
                </c:pt>
                <c:pt idx="52">
                  <c:v>320</c:v>
                </c:pt>
              </c:numCache>
            </c:numRef>
          </c:cat>
          <c:val>
            <c:numRef>
              <c:f>'PT100 Tables'!$N$12:$N$64</c:f>
              <c:numCache>
                <c:formatCode>0.00000</c:formatCode>
                <c:ptCount val="53"/>
                <c:pt idx="0">
                  <c:v>-226.57896810832159</c:v>
                </c:pt>
                <c:pt idx="1">
                  <c:v>-214.50147345286723</c:v>
                </c:pt>
                <c:pt idx="2">
                  <c:v>-202.5463054871436</c:v>
                </c:pt>
                <c:pt idx="3">
                  <c:v>-190.6852024827503</c:v>
                </c:pt>
                <c:pt idx="4">
                  <c:v>-178.94587788838507</c:v>
                </c:pt>
                <c:pt idx="5">
                  <c:v>-167.27220681338264</c:v>
                </c:pt>
                <c:pt idx="6">
                  <c:v>-155.66403755188858</c:v>
                </c:pt>
                <c:pt idx="7">
                  <c:v>-144.17695897416294</c:v>
                </c:pt>
                <c:pt idx="8">
                  <c:v>-132.72714368475818</c:v>
                </c:pt>
                <c:pt idx="9">
                  <c:v>-121.3701606252704</c:v>
                </c:pt>
                <c:pt idx="10">
                  <c:v>-110.05019125731945</c:v>
                </c:pt>
                <c:pt idx="11">
                  <c:v>-98.82271607157189</c:v>
                </c:pt>
                <c:pt idx="12">
                  <c:v>-87.63200847278155</c:v>
                </c:pt>
                <c:pt idx="13">
                  <c:v>-76.533461583867719</c:v>
                </c:pt>
                <c:pt idx="14">
                  <c:v>-65.443726273684561</c:v>
                </c:pt>
                <c:pt idx="15">
                  <c:v>-54.418174848328313</c:v>
                </c:pt>
                <c:pt idx="16">
                  <c:v>-43.456665712158447</c:v>
                </c:pt>
                <c:pt idx="17">
                  <c:v>-32.531410181758758</c:v>
                </c:pt>
                <c:pt idx="18">
                  <c:v>-21.642333212451625</c:v>
                </c:pt>
                <c:pt idx="19">
                  <c:v>-10.789360091858176</c:v>
                </c:pt>
                <c:pt idx="20">
                  <c:v>0</c:v>
                </c:pt>
                <c:pt idx="21">
                  <c:v>10.753447310734396</c:v>
                </c:pt>
                <c:pt idx="22">
                  <c:v>21.471055326533147</c:v>
                </c:pt>
                <c:pt idx="23">
                  <c:v>32.152897207696576</c:v>
                </c:pt>
                <c:pt idx="24">
                  <c:v>42.799045789986558</c:v>
                </c:pt>
                <c:pt idx="25">
                  <c:v>53.409573585968808</c:v>
                </c:pt>
                <c:pt idx="26">
                  <c:v>63.957095727010888</c:v>
                </c:pt>
                <c:pt idx="27">
                  <c:v>74.496619020404665</c:v>
                </c:pt>
                <c:pt idx="28">
                  <c:v>84.973321507176507</c:v>
                </c:pt>
                <c:pt idx="29">
                  <c:v>95.414731247176249</c:v>
                </c:pt>
                <c:pt idx="30">
                  <c:v>105.82091892518774</c:v>
                </c:pt>
                <c:pt idx="31">
                  <c:v>116.1646008990655</c:v>
                </c:pt>
                <c:pt idx="32">
                  <c:v>126.50057562908206</c:v>
                </c:pt>
                <c:pt idx="33">
                  <c:v>136.77422500668285</c:v>
                </c:pt>
                <c:pt idx="34">
                  <c:v>147.01297225011461</c:v>
                </c:pt>
                <c:pt idx="35">
                  <c:v>157.24415937643647</c:v>
                </c:pt>
                <c:pt idx="36">
                  <c:v>167.38603561621699</c:v>
                </c:pt>
                <c:pt idx="37">
                  <c:v>177.52048861285232</c:v>
                </c:pt>
                <c:pt idx="38">
                  <c:v>187.62031322572147</c:v>
                </c:pt>
                <c:pt idx="39">
                  <c:v>197.65838358265231</c:v>
                </c:pt>
                <c:pt idx="40">
                  <c:v>207.68917387094675</c:v>
                </c:pt>
                <c:pt idx="41">
                  <c:v>217.65838358265231</c:v>
                </c:pt>
                <c:pt idx="42">
                  <c:v>227.59327281421076</c:v>
                </c:pt>
                <c:pt idx="43">
                  <c:v>237.49390781634824</c:v>
                </c:pt>
                <c:pt idx="44">
                  <c:v>247.33325857561795</c:v>
                </c:pt>
                <c:pt idx="45">
                  <c:v>257.16560197901379</c:v>
                </c:pt>
                <c:pt idx="46">
                  <c:v>266.93683054898554</c:v>
                </c:pt>
                <c:pt idx="47">
                  <c:v>276.67410510358428</c:v>
                </c:pt>
                <c:pt idx="48">
                  <c:v>286.3774902021496</c:v>
                </c:pt>
                <c:pt idx="49">
                  <c:v>296.0470501138962</c:v>
                </c:pt>
                <c:pt idx="50">
                  <c:v>305.68284881905396</c:v>
                </c:pt>
                <c:pt idx="51">
                  <c:v>315.28495000999959</c:v>
                </c:pt>
                <c:pt idx="52">
                  <c:v>324.82647300087837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CF-4F54-93C7-774CB5488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263312"/>
        <c:axId val="545261016"/>
      </c:lineChart>
      <c:catAx>
        <c:axId val="545263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261016"/>
        <c:crosses val="autoZero"/>
        <c:auto val="1"/>
        <c:lblAlgn val="ctr"/>
        <c:lblOffset val="100"/>
        <c:noMultiLvlLbl val="0"/>
      </c:catAx>
      <c:valAx>
        <c:axId val="54526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</a:t>
                </a:r>
                <a:r>
                  <a:rPr lang="en-US" sz="1400" b="1" baseline="-25000"/>
                  <a:t>RTD</a:t>
                </a:r>
                <a:r>
                  <a:rPr lang="en-US" sz="1400" b="1"/>
                  <a:t> (mV)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263312"/>
        <c:crosses val="autoZero"/>
        <c:crossBetween val="between"/>
        <c:majorUnit val="20"/>
        <c:minorUnit val="10"/>
      </c:valAx>
      <c:spPr>
        <a:solidFill>
          <a:schemeClr val="bg1"/>
        </a:solidFill>
        <a:ln w="9525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RTD Voltage at Temperature</a:t>
            </a:r>
          </a:p>
          <a:p>
            <a:pPr>
              <a:defRPr sz="1800" b="1"/>
            </a:pPr>
            <a:r>
              <a:rPr lang="en-US" sz="1800" b="1"/>
              <a:t>R = R</a:t>
            </a:r>
            <a:r>
              <a:rPr lang="en-US" sz="1800" b="1" baseline="-25000"/>
              <a:t>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1"/>
          <c:tx>
            <c:v>V_RTD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'PT100 Tables'!$A$12:$A$64</c:f>
              <c:numCache>
                <c:formatCode>General</c:formatCode>
                <c:ptCount val="53"/>
                <c:pt idx="0">
                  <c:v>-200</c:v>
                </c:pt>
                <c:pt idx="1">
                  <c:v>-190</c:v>
                </c:pt>
                <c:pt idx="2">
                  <c:v>-180</c:v>
                </c:pt>
                <c:pt idx="3">
                  <c:v>-170</c:v>
                </c:pt>
                <c:pt idx="4">
                  <c:v>-160</c:v>
                </c:pt>
                <c:pt idx="5">
                  <c:v>-150</c:v>
                </c:pt>
                <c:pt idx="6">
                  <c:v>-140</c:v>
                </c:pt>
                <c:pt idx="7">
                  <c:v>-130</c:v>
                </c:pt>
                <c:pt idx="8">
                  <c:v>-120</c:v>
                </c:pt>
                <c:pt idx="9">
                  <c:v>-110</c:v>
                </c:pt>
                <c:pt idx="10">
                  <c:v>-100</c:v>
                </c:pt>
                <c:pt idx="11">
                  <c:v>-90</c:v>
                </c:pt>
                <c:pt idx="12">
                  <c:v>-80</c:v>
                </c:pt>
                <c:pt idx="13">
                  <c:v>-70</c:v>
                </c:pt>
                <c:pt idx="14">
                  <c:v>-60</c:v>
                </c:pt>
                <c:pt idx="15">
                  <c:v>-50</c:v>
                </c:pt>
                <c:pt idx="16">
                  <c:v>-40</c:v>
                </c:pt>
                <c:pt idx="17">
                  <c:v>-30</c:v>
                </c:pt>
                <c:pt idx="18">
                  <c:v>-20</c:v>
                </c:pt>
                <c:pt idx="19">
                  <c:v>-10</c:v>
                </c:pt>
                <c:pt idx="20">
                  <c:v>0</c:v>
                </c:pt>
                <c:pt idx="21">
                  <c:v>10</c:v>
                </c:pt>
                <c:pt idx="22">
                  <c:v>20</c:v>
                </c:pt>
                <c:pt idx="23">
                  <c:v>30</c:v>
                </c:pt>
                <c:pt idx="24">
                  <c:v>40</c:v>
                </c:pt>
                <c:pt idx="25">
                  <c:v>50</c:v>
                </c:pt>
                <c:pt idx="26">
                  <c:v>60</c:v>
                </c:pt>
                <c:pt idx="27">
                  <c:v>70</c:v>
                </c:pt>
                <c:pt idx="28">
                  <c:v>80</c:v>
                </c:pt>
                <c:pt idx="29">
                  <c:v>90</c:v>
                </c:pt>
                <c:pt idx="30">
                  <c:v>100</c:v>
                </c:pt>
                <c:pt idx="31">
                  <c:v>110</c:v>
                </c:pt>
                <c:pt idx="32">
                  <c:v>120</c:v>
                </c:pt>
                <c:pt idx="33">
                  <c:v>130</c:v>
                </c:pt>
                <c:pt idx="34">
                  <c:v>140</c:v>
                </c:pt>
                <c:pt idx="35">
                  <c:v>150</c:v>
                </c:pt>
                <c:pt idx="36">
                  <c:v>160</c:v>
                </c:pt>
                <c:pt idx="37">
                  <c:v>170</c:v>
                </c:pt>
                <c:pt idx="38">
                  <c:v>180</c:v>
                </c:pt>
                <c:pt idx="39">
                  <c:v>190</c:v>
                </c:pt>
                <c:pt idx="40">
                  <c:v>200</c:v>
                </c:pt>
                <c:pt idx="41">
                  <c:v>210</c:v>
                </c:pt>
                <c:pt idx="42">
                  <c:v>220</c:v>
                </c:pt>
                <c:pt idx="43">
                  <c:v>230</c:v>
                </c:pt>
                <c:pt idx="44">
                  <c:v>240</c:v>
                </c:pt>
                <c:pt idx="45">
                  <c:v>250</c:v>
                </c:pt>
                <c:pt idx="46">
                  <c:v>260</c:v>
                </c:pt>
                <c:pt idx="47">
                  <c:v>270</c:v>
                </c:pt>
                <c:pt idx="48">
                  <c:v>280</c:v>
                </c:pt>
                <c:pt idx="49">
                  <c:v>290</c:v>
                </c:pt>
                <c:pt idx="50">
                  <c:v>300</c:v>
                </c:pt>
                <c:pt idx="51">
                  <c:v>310</c:v>
                </c:pt>
                <c:pt idx="52">
                  <c:v>320</c:v>
                </c:pt>
              </c:numCache>
            </c:numRef>
          </c:cat>
          <c:val>
            <c:numRef>
              <c:f>'PT100 Tables'!$E$12:$E$64</c:f>
              <c:numCache>
                <c:formatCode>0.00000</c:formatCode>
                <c:ptCount val="53"/>
                <c:pt idx="0">
                  <c:v>9.2428821821985672</c:v>
                </c:pt>
                <c:pt idx="1">
                  <c:v>11.388998915475968</c:v>
                </c:pt>
                <c:pt idx="2">
                  <c:v>13.51337874360483</c:v>
                </c:pt>
                <c:pt idx="3">
                  <c:v>15.621043649203397</c:v>
                </c:pt>
                <c:pt idx="4">
                  <c:v>17.707069076502108</c:v>
                </c:pt>
                <c:pt idx="5">
                  <c:v>19.781428167319408</c:v>
                </c:pt>
                <c:pt idx="6">
                  <c:v>21.844147879106483</c:v>
                </c:pt>
                <c:pt idx="7">
                  <c:v>23.885350318471335</c:v>
                </c:pt>
                <c:pt idx="8">
                  <c:v>25.919931238317126</c:v>
                </c:pt>
                <c:pt idx="9">
                  <c:v>27.938016286486231</c:v>
                </c:pt>
                <c:pt idx="10">
                  <c:v>29.949524167367439</c:v>
                </c:pt>
                <c:pt idx="11">
                  <c:v>31.944596246137337</c:v>
                </c:pt>
                <c:pt idx="12">
                  <c:v>33.933134889301407</c:v>
                </c:pt>
                <c:pt idx="13">
                  <c:v>35.905296986893802</c:v>
                </c:pt>
                <c:pt idx="14">
                  <c:v>37.875893306392314</c:v>
                </c:pt>
                <c:pt idx="15">
                  <c:v>39.835084436887364</c:v>
                </c:pt>
                <c:pt idx="16">
                  <c:v>41.782895539290394</c:v>
                </c:pt>
                <c:pt idx="17">
                  <c:v>43.724264538243609</c:v>
                </c:pt>
                <c:pt idx="18">
                  <c:v>45.659204768850273</c:v>
                </c:pt>
                <c:pt idx="19">
                  <c:v>47.587729507165648</c:v>
                </c:pt>
                <c:pt idx="20">
                  <c:v>49.504950495049506</c:v>
                </c:pt>
                <c:pt idx="21">
                  <c:v>51.415789942497454</c:v>
                </c:pt>
                <c:pt idx="22">
                  <c:v>53.32026090767615</c:v>
                </c:pt>
                <c:pt idx="23">
                  <c:v>55.218376390843446</c:v>
                </c:pt>
                <c:pt idx="24">
                  <c:v>57.110149334588165</c:v>
                </c:pt>
                <c:pt idx="25">
                  <c:v>58.995592624068621</c:v>
                </c:pt>
                <c:pt idx="26">
                  <c:v>60.869840090721937</c:v>
                </c:pt>
                <c:pt idx="27">
                  <c:v>62.742666197956375</c:v>
                </c:pt>
                <c:pt idx="28">
                  <c:v>64.604329329082319</c:v>
                </c:pt>
                <c:pt idx="29">
                  <c:v>66.459721097100953</c:v>
                </c:pt>
                <c:pt idx="30">
                  <c:v>68.30885406238194</c:v>
                </c:pt>
                <c:pt idx="31">
                  <c:v>70.146880043855973</c:v>
                </c:pt>
                <c:pt idx="32">
                  <c:v>71.98353648259868</c:v>
                </c:pt>
                <c:pt idx="33">
                  <c:v>73.809117985227346</c:v>
                </c:pt>
                <c:pt idx="34">
                  <c:v>75.628497534859619</c:v>
                </c:pt>
                <c:pt idx="35">
                  <c:v>77.446533685525637</c:v>
                </c:pt>
                <c:pt idx="36">
                  <c:v>79.248699691468914</c:v>
                </c:pt>
                <c:pt idx="37">
                  <c:v>81.049546620336727</c:v>
                </c:pt>
                <c:pt idx="38">
                  <c:v>82.844240240429244</c:v>
                </c:pt>
                <c:pt idx="39">
                  <c:v>84.627960405695148</c:v>
                </c:pt>
                <c:pt idx="40">
                  <c:v>86.41038693535485</c:v>
                </c:pt>
                <c:pt idx="41">
                  <c:v>88.181870872230832</c:v>
                </c:pt>
                <c:pt idx="42">
                  <c:v>89.947256213426243</c:v>
                </c:pt>
                <c:pt idx="43">
                  <c:v>91.706554731398541</c:v>
                </c:pt>
                <c:pt idx="44">
                  <c:v>93.454963313762761</c:v>
                </c:pt>
                <c:pt idx="45">
                  <c:v>95.202126720357839</c:v>
                </c:pt>
                <c:pt idx="46">
                  <c:v>96.93843029464459</c:v>
                </c:pt>
                <c:pt idx="47">
                  <c:v>98.668700392400595</c:v>
                </c:pt>
                <c:pt idx="48">
                  <c:v>100.39294848553148</c:v>
                </c:pt>
                <c:pt idx="49">
                  <c:v>102.11118599438899</c:v>
                </c:pt>
                <c:pt idx="50">
                  <c:v>103.82342428797354</c:v>
                </c:pt>
                <c:pt idx="51">
                  <c:v>105.52967468413536</c:v>
                </c:pt>
                <c:pt idx="52">
                  <c:v>107.22516060533411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B0-4CBD-9708-28D0C4469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263312"/>
        <c:axId val="54526101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'PT100 Tables'!$A$12:$A$64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-200</c:v>
                      </c:pt>
                      <c:pt idx="1">
                        <c:v>-190</c:v>
                      </c:pt>
                      <c:pt idx="2">
                        <c:v>-180</c:v>
                      </c:pt>
                      <c:pt idx="3">
                        <c:v>-170</c:v>
                      </c:pt>
                      <c:pt idx="4">
                        <c:v>-160</c:v>
                      </c:pt>
                      <c:pt idx="5">
                        <c:v>-150</c:v>
                      </c:pt>
                      <c:pt idx="6">
                        <c:v>-140</c:v>
                      </c:pt>
                      <c:pt idx="7">
                        <c:v>-130</c:v>
                      </c:pt>
                      <c:pt idx="8">
                        <c:v>-120</c:v>
                      </c:pt>
                      <c:pt idx="9">
                        <c:v>-110</c:v>
                      </c:pt>
                      <c:pt idx="10">
                        <c:v>-100</c:v>
                      </c:pt>
                      <c:pt idx="11">
                        <c:v>-90</c:v>
                      </c:pt>
                      <c:pt idx="12">
                        <c:v>-80</c:v>
                      </c:pt>
                      <c:pt idx="13">
                        <c:v>-70</c:v>
                      </c:pt>
                      <c:pt idx="14">
                        <c:v>-60</c:v>
                      </c:pt>
                      <c:pt idx="15">
                        <c:v>-50</c:v>
                      </c:pt>
                      <c:pt idx="16">
                        <c:v>-40</c:v>
                      </c:pt>
                      <c:pt idx="17">
                        <c:v>-30</c:v>
                      </c:pt>
                      <c:pt idx="18">
                        <c:v>-20</c:v>
                      </c:pt>
                      <c:pt idx="19">
                        <c:v>-10</c:v>
                      </c:pt>
                      <c:pt idx="20">
                        <c:v>0</c:v>
                      </c:pt>
                      <c:pt idx="21">
                        <c:v>10</c:v>
                      </c:pt>
                      <c:pt idx="22">
                        <c:v>20</c:v>
                      </c:pt>
                      <c:pt idx="23">
                        <c:v>30</c:v>
                      </c:pt>
                      <c:pt idx="24">
                        <c:v>40</c:v>
                      </c:pt>
                      <c:pt idx="25">
                        <c:v>50</c:v>
                      </c:pt>
                      <c:pt idx="26">
                        <c:v>60</c:v>
                      </c:pt>
                      <c:pt idx="27">
                        <c:v>70</c:v>
                      </c:pt>
                      <c:pt idx="28">
                        <c:v>80</c:v>
                      </c:pt>
                      <c:pt idx="29">
                        <c:v>90</c:v>
                      </c:pt>
                      <c:pt idx="30">
                        <c:v>100</c:v>
                      </c:pt>
                      <c:pt idx="31">
                        <c:v>110</c:v>
                      </c:pt>
                      <c:pt idx="32">
                        <c:v>120</c:v>
                      </c:pt>
                      <c:pt idx="33">
                        <c:v>130</c:v>
                      </c:pt>
                      <c:pt idx="34">
                        <c:v>140</c:v>
                      </c:pt>
                      <c:pt idx="35">
                        <c:v>150</c:v>
                      </c:pt>
                      <c:pt idx="36">
                        <c:v>160</c:v>
                      </c:pt>
                      <c:pt idx="37">
                        <c:v>170</c:v>
                      </c:pt>
                      <c:pt idx="38">
                        <c:v>180</c:v>
                      </c:pt>
                      <c:pt idx="39">
                        <c:v>190</c:v>
                      </c:pt>
                      <c:pt idx="40">
                        <c:v>200</c:v>
                      </c:pt>
                      <c:pt idx="41">
                        <c:v>210</c:v>
                      </c:pt>
                      <c:pt idx="42">
                        <c:v>220</c:v>
                      </c:pt>
                      <c:pt idx="43">
                        <c:v>230</c:v>
                      </c:pt>
                      <c:pt idx="44">
                        <c:v>240</c:v>
                      </c:pt>
                      <c:pt idx="45">
                        <c:v>250</c:v>
                      </c:pt>
                      <c:pt idx="46">
                        <c:v>260</c:v>
                      </c:pt>
                      <c:pt idx="47">
                        <c:v>270</c:v>
                      </c:pt>
                      <c:pt idx="48">
                        <c:v>280</c:v>
                      </c:pt>
                      <c:pt idx="49">
                        <c:v>290</c:v>
                      </c:pt>
                      <c:pt idx="50">
                        <c:v>300</c:v>
                      </c:pt>
                      <c:pt idx="51">
                        <c:v>310</c:v>
                      </c:pt>
                      <c:pt idx="52">
                        <c:v>320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'[1]RTD Voltage @ Resistance'!$B$12:$B$34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2.4950511553545525</c:v>
                      </c:pt>
                      <c:pt idx="1">
                        <c:v>2.4948569278292152</c:v>
                      </c:pt>
                      <c:pt idx="2">
                        <c:v>2.49465509377728</c:v>
                      </c:pt>
                      <c:pt idx="3">
                        <c:v>2.4944453566112497</c:v>
                      </c:pt>
                      <c:pt idx="4">
                        <c:v>2.4942274082838676</c:v>
                      </c:pt>
                      <c:pt idx="5">
                        <c:v>2.4940009288536982</c:v>
                      </c:pt>
                      <c:pt idx="6">
                        <c:v>2.4937655860349128</c:v>
                      </c:pt>
                      <c:pt idx="7">
                        <c:v>2.4935219925230507</c:v>
                      </c:pt>
                      <c:pt idx="8">
                        <c:v>2.493268906918324</c:v>
                      </c:pt>
                      <c:pt idx="9">
                        <c:v>2.4930059613891928</c:v>
                      </c:pt>
                      <c:pt idx="10">
                        <c:v>2.4927327740130938</c:v>
                      </c:pt>
                      <c:pt idx="11">
                        <c:v>2.4924489482496264</c:v>
                      </c:pt>
                      <c:pt idx="12">
                        <c:v>2.4921540723950875</c:v>
                      </c:pt>
                      <c:pt idx="13">
                        <c:v>2.4918477190177688</c:v>
                      </c:pt>
                      <c:pt idx="14">
                        <c:v>2.491529444373441</c:v>
                      </c:pt>
                      <c:pt idx="15">
                        <c:v>2.491198787800422</c:v>
                      </c:pt>
                      <c:pt idx="16">
                        <c:v>2.4908552710936234</c:v>
                      </c:pt>
                      <c:pt idx="17">
                        <c:v>2.4904983978569613</c:v>
                      </c:pt>
                      <c:pt idx="18">
                        <c:v>2.4901276528335061</c:v>
                      </c:pt>
                      <c:pt idx="19">
                        <c:v>2.4897425012127439</c:v>
                      </c:pt>
                      <c:pt idx="20">
                        <c:v>2.4893423879143075</c:v>
                      </c:pt>
                      <c:pt idx="21">
                        <c:v>2.4889267368475374</c:v>
                      </c:pt>
                      <c:pt idx="22">
                        <c:v>2.488494950146229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4B0-4CBD-9708-28D0C4469746}"/>
                  </c:ext>
                </c:extLst>
              </c15:ser>
            </c15:filteredLineSeries>
          </c:ext>
        </c:extLst>
      </c:lineChart>
      <c:catAx>
        <c:axId val="545263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261016"/>
        <c:crosses val="autoZero"/>
        <c:auto val="1"/>
        <c:lblAlgn val="ctr"/>
        <c:lblOffset val="100"/>
        <c:noMultiLvlLbl val="0"/>
      </c:catAx>
      <c:valAx>
        <c:axId val="54526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</a:t>
                </a:r>
                <a:r>
                  <a:rPr lang="en-US" sz="1400" b="1" baseline="-25000"/>
                  <a:t>RTD</a:t>
                </a:r>
                <a:r>
                  <a:rPr lang="en-US" sz="1400" b="1"/>
                  <a:t> (mV)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263312"/>
        <c:crosses val="autoZero"/>
        <c:crossBetween val="between"/>
        <c:majorUnit val="5"/>
      </c:valAx>
      <c:spPr>
        <a:noFill/>
        <a:ln w="9525"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9524</xdr:colOff>
      <xdr:row>17</xdr:row>
      <xdr:rowOff>52604</xdr:rowOff>
    </xdr:from>
    <xdr:to>
      <xdr:col>20</xdr:col>
      <xdr:colOff>17930</xdr:colOff>
      <xdr:row>44</xdr:row>
      <xdr:rowOff>94129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D29595D-A17F-49A6-AAFF-29ADE47E48D7}"/>
            </a:ext>
          </a:extLst>
        </xdr:cNvPr>
        <xdr:cNvGrpSpPr/>
      </xdr:nvGrpSpPr>
      <xdr:grpSpPr>
        <a:xfrm>
          <a:off x="7371789" y="3941045"/>
          <a:ext cx="5644965" cy="5196231"/>
          <a:chOff x="7075295" y="2857500"/>
          <a:chExt cx="5600700" cy="5133440"/>
        </a:xfrm>
      </xdr:grpSpPr>
      <xdr:graphicFrame macro="">
        <xdr:nvGraphicFramePr>
          <xdr:cNvPr id="44" name="Chart 43">
            <a:extLst>
              <a:ext uri="{FF2B5EF4-FFF2-40B4-BE49-F238E27FC236}">
                <a16:creationId xmlns:a16="http://schemas.microsoft.com/office/drawing/2014/main" id="{DE661D9D-6115-4A9D-8465-E2EB6C241CAF}"/>
              </a:ext>
            </a:extLst>
          </xdr:cNvPr>
          <xdr:cNvGraphicFramePr>
            <a:graphicFrameLocks/>
          </xdr:cNvGraphicFramePr>
        </xdr:nvGraphicFramePr>
        <xdr:xfrm>
          <a:off x="7075295" y="3571340"/>
          <a:ext cx="5600700" cy="4419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#REF!">
        <xdr:nvSpPr>
          <xdr:cNvPr id="47" name="TextBox 46">
            <a:extLst>
              <a:ext uri="{FF2B5EF4-FFF2-40B4-BE49-F238E27FC236}">
                <a16:creationId xmlns:a16="http://schemas.microsoft.com/office/drawing/2014/main" id="{8AFC66A0-10B0-4D75-B053-DC4F88F69C38}"/>
              </a:ext>
            </a:extLst>
          </xdr:cNvPr>
          <xdr:cNvSpPr txBox="1"/>
        </xdr:nvSpPr>
        <xdr:spPr>
          <a:xfrm>
            <a:off x="8644927" y="2857500"/>
            <a:ext cx="214836" cy="2613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fld id="{88E6398F-BD83-41EB-BBCA-8D06170054B1}" type="TxLink">
              <a:rPr lang="en-US" sz="11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 </a:t>
            </a:fld>
            <a:endParaRPr lang="en-US" sz="1200"/>
          </a:p>
        </xdr:txBody>
      </xdr:sp>
    </xdr:grpSp>
    <xdr:clientData/>
  </xdr:twoCellAnchor>
  <xdr:twoCellAnchor>
    <xdr:from>
      <xdr:col>0</xdr:col>
      <xdr:colOff>35859</xdr:colOff>
      <xdr:row>10</xdr:row>
      <xdr:rowOff>194983</xdr:rowOff>
    </xdr:from>
    <xdr:to>
      <xdr:col>9</xdr:col>
      <xdr:colOff>12328</xdr:colOff>
      <xdr:row>33</xdr:row>
      <xdr:rowOff>140635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C89F7CF-7B11-4CAD-91A0-041EA5E086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123266</xdr:colOff>
      <xdr:row>1</xdr:row>
      <xdr:rowOff>100853</xdr:rowOff>
    </xdr:from>
    <xdr:to>
      <xdr:col>30</xdr:col>
      <xdr:colOff>493058</xdr:colOff>
      <xdr:row>25</xdr:row>
      <xdr:rowOff>3923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B57D904-60B2-4683-B71E-7D5323048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1" y="381000"/>
          <a:ext cx="6006351" cy="5019675"/>
        </a:xfrm>
        <a:prstGeom prst="rect">
          <a:avLst/>
        </a:prstGeom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533400</xdr:colOff>
      <xdr:row>33</xdr:row>
      <xdr:rowOff>176212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146D5E8-BBED-48C7-810B-1B4C676CFAC8}"/>
            </a:ext>
          </a:extLst>
        </xdr:cNvPr>
        <xdr:cNvSpPr txBox="1"/>
      </xdr:nvSpPr>
      <xdr:spPr>
        <a:xfrm>
          <a:off x="8458200" y="3814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533400</xdr:colOff>
      <xdr:row>42</xdr:row>
      <xdr:rowOff>176212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3C12DB-E9AC-439E-9AA4-299605EFBD43}"/>
            </a:ext>
          </a:extLst>
        </xdr:cNvPr>
        <xdr:cNvSpPr txBox="1"/>
      </xdr:nvSpPr>
      <xdr:spPr>
        <a:xfrm>
          <a:off x="8562975" y="651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533400</xdr:colOff>
      <xdr:row>42</xdr:row>
      <xdr:rowOff>176212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44EECFB-306A-40DA-9536-3E2397E4BE5D}"/>
            </a:ext>
          </a:extLst>
        </xdr:cNvPr>
        <xdr:cNvSpPr txBox="1"/>
      </xdr:nvSpPr>
      <xdr:spPr>
        <a:xfrm>
          <a:off x="13220700" y="8539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533400</xdr:colOff>
      <xdr:row>42</xdr:row>
      <xdr:rowOff>176212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EA74593-4A84-4A98-9C7D-6DAF9BFBBE66}"/>
            </a:ext>
          </a:extLst>
        </xdr:cNvPr>
        <xdr:cNvSpPr txBox="1"/>
      </xdr:nvSpPr>
      <xdr:spPr>
        <a:xfrm>
          <a:off x="13220700" y="8539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533400</xdr:colOff>
      <xdr:row>42</xdr:row>
      <xdr:rowOff>176212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9A19AB-6314-44F8-B516-691A1E7D5E8F}"/>
            </a:ext>
          </a:extLst>
        </xdr:cNvPr>
        <xdr:cNvSpPr txBox="1"/>
      </xdr:nvSpPr>
      <xdr:spPr>
        <a:xfrm>
          <a:off x="13220700" y="8539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iel.muckenhirn\Documents\_Help%20Center\_ARTICLES\RTD%20Error%20Budget\RTD%20Error%20Budget_Compl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TD Data"/>
      <sheetName val="RTD Resistance @ Temperature"/>
      <sheetName val="RTD Voltage @ Resistance"/>
      <sheetName val="RTD Current @ Resistance"/>
      <sheetName val="Temp @ Sensitivity"/>
      <sheetName val="STD Resistor Vals"/>
    </sheetNames>
    <sheetDataSet>
      <sheetData sheetId="0"/>
      <sheetData sheetId="1"/>
      <sheetData sheetId="2">
        <row r="12">
          <cell r="B12">
            <v>2.4950511553545525</v>
          </cell>
        </row>
        <row r="13">
          <cell r="B13">
            <v>2.4948569278292152</v>
          </cell>
        </row>
        <row r="14">
          <cell r="B14">
            <v>2.49465509377728</v>
          </cell>
        </row>
        <row r="15">
          <cell r="B15">
            <v>2.4944453566112497</v>
          </cell>
        </row>
        <row r="16">
          <cell r="B16">
            <v>2.4942274082838676</v>
          </cell>
        </row>
        <row r="17">
          <cell r="B17">
            <v>2.4940009288536982</v>
          </cell>
        </row>
        <row r="18">
          <cell r="B18">
            <v>2.4937655860349128</v>
          </cell>
        </row>
        <row r="19">
          <cell r="B19">
            <v>2.4935219925230507</v>
          </cell>
        </row>
        <row r="20">
          <cell r="B20">
            <v>2.493268906918324</v>
          </cell>
        </row>
        <row r="21">
          <cell r="B21">
            <v>2.4930059613891928</v>
          </cell>
        </row>
        <row r="22">
          <cell r="B22">
            <v>2.4927327740130938</v>
          </cell>
        </row>
        <row r="23">
          <cell r="B23">
            <v>2.4924489482496264</v>
          </cell>
        </row>
        <row r="24">
          <cell r="B24">
            <v>2.4921540723950875</v>
          </cell>
        </row>
        <row r="25">
          <cell r="B25">
            <v>2.4918477190177688</v>
          </cell>
        </row>
        <row r="26">
          <cell r="B26">
            <v>2.491529444373441</v>
          </cell>
        </row>
        <row r="27">
          <cell r="B27">
            <v>2.491198787800422</v>
          </cell>
        </row>
        <row r="28">
          <cell r="B28">
            <v>2.4908552710936234</v>
          </cell>
        </row>
        <row r="29">
          <cell r="B29">
            <v>2.4904983978569613</v>
          </cell>
        </row>
        <row r="30">
          <cell r="B30">
            <v>2.4901276528335061</v>
          </cell>
        </row>
        <row r="31">
          <cell r="B31">
            <v>2.4897425012127439</v>
          </cell>
        </row>
        <row r="32">
          <cell r="B32">
            <v>2.4893423879143075</v>
          </cell>
        </row>
        <row r="33">
          <cell r="B33">
            <v>2.4889267368475374</v>
          </cell>
        </row>
        <row r="34">
          <cell r="B34">
            <v>2.488494950146229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7EB45-1C3F-48F2-A398-FF1490EBEE51}">
  <sheetPr codeName="Sheet1"/>
  <dimension ref="A1:AE57"/>
  <sheetViews>
    <sheetView tabSelected="1" zoomScale="85" zoomScaleNormal="85" workbookViewId="0">
      <selection activeCell="K9" sqref="K9"/>
    </sheetView>
  </sheetViews>
  <sheetFormatPr defaultRowHeight="15" x14ac:dyDescent="0.25"/>
  <cols>
    <col min="1" max="1" width="11.85546875" customWidth="1"/>
    <col min="2" max="2" width="11.5703125" bestFit="1" customWidth="1"/>
    <col min="3" max="3" width="9.5703125" customWidth="1"/>
    <col min="4" max="4" width="9.5703125" bestFit="1" customWidth="1"/>
    <col min="5" max="5" width="12.140625" customWidth="1"/>
    <col min="6" max="6" width="10.28515625" customWidth="1"/>
    <col min="11" max="11" width="9.140625" customWidth="1"/>
    <col min="12" max="12" width="10.42578125" customWidth="1"/>
    <col min="13" max="13" width="12" customWidth="1"/>
    <col min="16" max="16" width="2.7109375" customWidth="1"/>
    <col min="17" max="17" width="10.5703125" customWidth="1"/>
    <col min="18" max="18" width="12.140625" customWidth="1"/>
    <col min="19" max="19" width="9.5703125" bestFit="1" customWidth="1"/>
    <col min="22" max="22" width="11.85546875" customWidth="1"/>
    <col min="23" max="23" width="9.140625" customWidth="1"/>
  </cols>
  <sheetData>
    <row r="1" spans="1:31" ht="21.75" thickBot="1" x14ac:dyDescent="0.4">
      <c r="A1" s="155" t="s">
        <v>58</v>
      </c>
      <c r="B1" s="156"/>
      <c r="C1" s="156"/>
      <c r="D1" s="156"/>
      <c r="E1" s="156"/>
      <c r="F1" s="156"/>
      <c r="G1" s="156"/>
      <c r="H1" s="156"/>
      <c r="I1" s="157"/>
      <c r="L1" s="119" t="s">
        <v>57</v>
      </c>
      <c r="M1" s="120"/>
      <c r="N1" s="120"/>
      <c r="O1" s="120"/>
      <c r="P1" s="120"/>
      <c r="Q1" s="120"/>
      <c r="R1" s="120"/>
      <c r="S1" s="120"/>
      <c r="T1" s="121"/>
      <c r="V1" s="109" t="s">
        <v>86</v>
      </c>
      <c r="W1" s="109"/>
      <c r="X1" s="109"/>
      <c r="Y1" s="109"/>
      <c r="Z1" s="109"/>
      <c r="AA1" s="109"/>
      <c r="AB1" s="109"/>
      <c r="AC1" s="109"/>
      <c r="AD1" s="109"/>
      <c r="AE1" s="109"/>
    </row>
    <row r="2" spans="1:31" ht="19.5" thickBot="1" x14ac:dyDescent="0.35">
      <c r="A2" s="167" t="s">
        <v>4</v>
      </c>
      <c r="B2" s="168"/>
      <c r="C2" s="168"/>
      <c r="D2" s="168"/>
      <c r="E2" s="168"/>
      <c r="F2" s="168"/>
      <c r="G2" s="168"/>
      <c r="H2" s="168"/>
      <c r="I2" s="169"/>
      <c r="L2" s="106" t="str">
        <f>IF(ABS(T15)&gt;ABS(O15),"Recommend Using Sensitivity for 20°C", "Recommend Using Sensitivity for Mid-Range")</f>
        <v>Recommend Using Sensitivity for 20°C</v>
      </c>
      <c r="M2" s="107"/>
      <c r="N2" s="107"/>
      <c r="O2" s="107"/>
      <c r="P2" s="107"/>
      <c r="Q2" s="107"/>
      <c r="R2" s="107"/>
      <c r="S2" s="107"/>
      <c r="T2" s="108"/>
      <c r="U2" s="1"/>
      <c r="V2" s="1"/>
    </row>
    <row r="3" spans="1:31" ht="18.75" thickBot="1" x14ac:dyDescent="0.4">
      <c r="A3" s="57" t="s">
        <v>62</v>
      </c>
      <c r="B3" s="45">
        <v>1000</v>
      </c>
      <c r="C3" s="59" t="s">
        <v>0</v>
      </c>
      <c r="D3" s="60" t="s">
        <v>59</v>
      </c>
      <c r="E3" s="45">
        <v>5</v>
      </c>
      <c r="F3" s="59" t="s">
        <v>2</v>
      </c>
      <c r="G3" s="61" t="s">
        <v>36</v>
      </c>
      <c r="H3" s="58">
        <f>IF(B3=100,'PT100 Tables'!D32, IF(B3=500, 'PT500 Tables'!D32, IF(B3=1000, 'PT1000 Tables'!D32, IF(B3="Custom", 'PT-CUSTOM Tables'!D32, 0))))</f>
        <v>0.45454545454545453</v>
      </c>
      <c r="I3" s="62" t="s">
        <v>17</v>
      </c>
      <c r="J3" s="63">
        <f>IF(B3="Custom", B4, B3)</f>
        <v>1000</v>
      </c>
      <c r="L3" s="126" t="s">
        <v>44</v>
      </c>
      <c r="M3" s="127"/>
      <c r="N3" s="127"/>
      <c r="O3" s="128"/>
      <c r="P3" s="80"/>
      <c r="Q3" s="129" t="s">
        <v>45</v>
      </c>
      <c r="R3" s="127"/>
      <c r="S3" s="127"/>
      <c r="T3" s="130"/>
    </row>
    <row r="4" spans="1:31" ht="18" x14ac:dyDescent="0.35">
      <c r="A4" s="57" t="s">
        <v>77</v>
      </c>
      <c r="B4" s="45">
        <v>0</v>
      </c>
      <c r="C4" s="59" t="s">
        <v>0</v>
      </c>
      <c r="D4" s="60" t="s">
        <v>60</v>
      </c>
      <c r="E4" s="45">
        <v>-70</v>
      </c>
      <c r="F4" s="64" t="s">
        <v>21</v>
      </c>
      <c r="G4" s="161" t="s">
        <v>22</v>
      </c>
      <c r="H4" s="163">
        <f>E5-E4</f>
        <v>390</v>
      </c>
      <c r="I4" s="165" t="s">
        <v>21</v>
      </c>
      <c r="L4" s="151" t="s">
        <v>47</v>
      </c>
      <c r="M4" s="133"/>
      <c r="N4" s="81">
        <v>20</v>
      </c>
      <c r="O4" s="82" t="s">
        <v>21</v>
      </c>
      <c r="P4" s="83"/>
      <c r="Q4" s="132" t="s">
        <v>42</v>
      </c>
      <c r="R4" s="133"/>
      <c r="S4" s="81">
        <f>ROUND((E5-E4)/2, -1)</f>
        <v>200</v>
      </c>
      <c r="T4" s="84" t="s">
        <v>21</v>
      </c>
    </row>
    <row r="5" spans="1:31" ht="18" x14ac:dyDescent="0.35">
      <c r="A5" s="57" t="s">
        <v>63</v>
      </c>
      <c r="B5" s="79">
        <v>0</v>
      </c>
      <c r="C5" s="59" t="s">
        <v>0</v>
      </c>
      <c r="D5" s="60" t="s">
        <v>61</v>
      </c>
      <c r="E5" s="45">
        <v>320</v>
      </c>
      <c r="F5" s="64" t="s">
        <v>21</v>
      </c>
      <c r="G5" s="162"/>
      <c r="H5" s="164"/>
      <c r="I5" s="166"/>
      <c r="L5" s="122" t="s">
        <v>27</v>
      </c>
      <c r="M5" s="123"/>
      <c r="N5" s="58">
        <f>IF(B3=100, 'PT100 Tables'!$E$34, IF(B3=500, 'PT500 Tables'!$E$34, IF(B3=1000, 'PT1000 Tables'!$E$34, 'PT-CUSTOM Tables'!$E$34)))</f>
        <v>486.50917592684539</v>
      </c>
      <c r="O5" s="59" t="s">
        <v>20</v>
      </c>
      <c r="P5" s="83"/>
      <c r="Q5" s="134" t="s">
        <v>46</v>
      </c>
      <c r="R5" s="123"/>
      <c r="S5" s="58">
        <f>IF(B3=100, 'PT100 Tables'!M6, IF(B3=500, 'PT500 Tables'!M6, IF(B3=1000, 'PT1000 Tables'!M6, 'PT-CUSTOM Tables'!M6)))</f>
        <v>747.79310462129843</v>
      </c>
      <c r="T5" s="62" t="s">
        <v>20</v>
      </c>
      <c r="W5" s="65"/>
    </row>
    <row r="6" spans="1:31" ht="18" x14ac:dyDescent="0.35">
      <c r="A6" s="170" t="s">
        <v>5</v>
      </c>
      <c r="B6" s="171"/>
      <c r="C6" s="171"/>
      <c r="D6" s="171"/>
      <c r="E6" s="171"/>
      <c r="F6" s="171"/>
      <c r="G6" s="171"/>
      <c r="H6" s="171"/>
      <c r="I6" s="172"/>
      <c r="L6" s="124" t="s">
        <v>26</v>
      </c>
      <c r="M6" s="125"/>
      <c r="N6" s="58">
        <f>IF(B3=100,('PT100 Tables'!$E$35-'PT100 Tables'!$E$33)/('PT100 Tables'!$A$35-'PT100 Tables'!$A$33),IF(B3=500,('PT500 Tables'!$E$35-'PT500 Tables'!$E$33)/('PT500 Tables'!$A$35-'PT500 Tables'!$A$33),IF(B3=1000,('PT1000 Tables'!$E$35-'PT1000 Tables'!$E$33)/('PT1000 Tables'!$A$35-'PT1000 Tables'!$A$33),('PT-CUSTOM Tables'!$E$35-'PT-CUSTOM Tables'!$E$33)/('PT-CUSTOM Tables'!$A$35-'PT-CUSTOM Tables'!$A$33))))</f>
        <v>1.5829070317516141</v>
      </c>
      <c r="O6" s="59" t="s">
        <v>23</v>
      </c>
      <c r="P6" s="83"/>
      <c r="Q6" s="131" t="s">
        <v>43</v>
      </c>
      <c r="R6" s="125"/>
      <c r="S6" s="6">
        <f>IF(B3=100,'PT100 Tables'!M7,IF(B3=500,'PT500 Tables'!M7,IF(B3=1000,'PT1000 Tables'!M7,'PT-CUSTOM Tables'!M7)))</f>
        <v>1.3428251612306041</v>
      </c>
      <c r="T6" s="62" t="s">
        <v>23</v>
      </c>
    </row>
    <row r="7" spans="1:31" ht="18" x14ac:dyDescent="0.35">
      <c r="A7" s="66" t="s">
        <v>90</v>
      </c>
      <c r="B7" s="67">
        <f>'PT100 Tables'!J7</f>
        <v>4950</v>
      </c>
      <c r="C7" s="138" t="s">
        <v>0</v>
      </c>
      <c r="D7" s="139"/>
      <c r="E7" s="60" t="s">
        <v>92</v>
      </c>
      <c r="F7" s="56">
        <v>5000</v>
      </c>
      <c r="G7" s="138" t="s">
        <v>0</v>
      </c>
      <c r="H7" s="140"/>
      <c r="I7" s="141"/>
      <c r="L7" s="124" t="s">
        <v>25</v>
      </c>
      <c r="M7" s="125"/>
      <c r="N7" s="58">
        <f>(-N5/N6)+N4</f>
        <v>-287.35170554425031</v>
      </c>
      <c r="O7" s="64" t="s">
        <v>21</v>
      </c>
      <c r="P7" s="83"/>
      <c r="Q7" s="131" t="s">
        <v>25</v>
      </c>
      <c r="R7" s="125"/>
      <c r="S7" s="58">
        <f>(-S5/S6)+S4</f>
        <v>-356.88046829268455</v>
      </c>
      <c r="T7" s="88" t="s">
        <v>21</v>
      </c>
    </row>
    <row r="8" spans="1:31" ht="18.75" thickBot="1" x14ac:dyDescent="0.4">
      <c r="A8" s="66" t="s">
        <v>91</v>
      </c>
      <c r="B8" s="67">
        <f>B7</f>
        <v>4950</v>
      </c>
      <c r="C8" s="138" t="str">
        <f>C7</f>
        <v>ohms</v>
      </c>
      <c r="D8" s="139"/>
      <c r="E8" s="61" t="s">
        <v>93</v>
      </c>
      <c r="F8" s="67">
        <f>F7</f>
        <v>5000</v>
      </c>
      <c r="G8" s="138" t="s">
        <v>0</v>
      </c>
      <c r="H8" s="140"/>
      <c r="I8" s="141"/>
      <c r="L8" s="154" t="s">
        <v>88</v>
      </c>
      <c r="M8" s="153"/>
      <c r="N8" s="89">
        <f>H4</f>
        <v>390</v>
      </c>
      <c r="O8" s="64" t="s">
        <v>21</v>
      </c>
      <c r="P8" s="83"/>
      <c r="Q8" s="152" t="s">
        <v>88</v>
      </c>
      <c r="R8" s="153"/>
      <c r="S8" s="89">
        <f>H4</f>
        <v>390</v>
      </c>
      <c r="T8" s="64" t="s">
        <v>21</v>
      </c>
    </row>
    <row r="9" spans="1:31" ht="15.75" thickBot="1" x14ac:dyDescent="0.3">
      <c r="A9" s="158" t="s">
        <v>79</v>
      </c>
      <c r="B9" s="159"/>
      <c r="C9" s="159"/>
      <c r="D9" s="159"/>
      <c r="E9" s="159"/>
      <c r="F9" s="159"/>
      <c r="G9" s="159"/>
      <c r="H9" s="159"/>
      <c r="I9" s="160"/>
      <c r="L9" s="142" t="s">
        <v>64</v>
      </c>
      <c r="M9" s="143"/>
      <c r="N9" s="143"/>
      <c r="O9" s="143"/>
      <c r="P9" s="143"/>
      <c r="Q9" s="143"/>
      <c r="R9" s="143"/>
      <c r="S9" s="143"/>
      <c r="T9" s="144"/>
    </row>
    <row r="10" spans="1:31" ht="18.75" thickBot="1" x14ac:dyDescent="0.4">
      <c r="A10" s="68" t="s">
        <v>78</v>
      </c>
      <c r="B10" s="72">
        <v>3.8500000000000001E-3</v>
      </c>
      <c r="C10" s="110" t="s">
        <v>18</v>
      </c>
      <c r="D10" s="111"/>
      <c r="E10" s="111"/>
      <c r="F10" s="111"/>
      <c r="G10" s="111"/>
      <c r="H10" s="111"/>
      <c r="I10" s="112"/>
      <c r="L10" s="151" t="s">
        <v>50</v>
      </c>
      <c r="M10" s="133"/>
      <c r="N10" s="81">
        <f>ROUND($E$4, -1)</f>
        <v>-70</v>
      </c>
      <c r="O10" s="90" t="s">
        <v>21</v>
      </c>
      <c r="P10" s="83"/>
      <c r="Q10" s="132" t="s">
        <v>50</v>
      </c>
      <c r="R10" s="133"/>
      <c r="S10" s="81">
        <f>ROUND($E$4, -1)</f>
        <v>-70</v>
      </c>
      <c r="T10" s="84" t="s">
        <v>21</v>
      </c>
    </row>
    <row r="11" spans="1:31" ht="18" x14ac:dyDescent="0.35">
      <c r="L11" s="151" t="s">
        <v>89</v>
      </c>
      <c r="M11" s="133"/>
      <c r="N11" s="81">
        <f>ROUND(SUM(ABS(N10), ABS(N12))/2, -1)</f>
        <v>200</v>
      </c>
      <c r="O11" s="90" t="s">
        <v>21</v>
      </c>
      <c r="P11" s="83"/>
      <c r="Q11" s="132" t="s">
        <v>50</v>
      </c>
      <c r="R11" s="133"/>
      <c r="S11" s="81">
        <f>ROUND(SUM(ABS(S10), ABS(S12))/2, -1)</f>
        <v>200</v>
      </c>
      <c r="T11" s="84" t="s">
        <v>21</v>
      </c>
    </row>
    <row r="12" spans="1:31" ht="18" x14ac:dyDescent="0.35">
      <c r="L12" s="122" t="s">
        <v>51</v>
      </c>
      <c r="M12" s="123"/>
      <c r="N12" s="58">
        <f>ROUND($E$5, -1)</f>
        <v>320</v>
      </c>
      <c r="O12" s="91" t="s">
        <v>21</v>
      </c>
      <c r="P12" s="83"/>
      <c r="Q12" s="134" t="s">
        <v>51</v>
      </c>
      <c r="R12" s="123"/>
      <c r="S12" s="58">
        <f>ROUND($E$5, -1)</f>
        <v>320</v>
      </c>
      <c r="T12" s="88" t="s">
        <v>21</v>
      </c>
    </row>
    <row r="13" spans="1:31" ht="18" x14ac:dyDescent="0.35">
      <c r="A13" s="1"/>
      <c r="B13" s="1"/>
      <c r="C13" s="20"/>
      <c r="F13" s="1"/>
      <c r="L13" s="85"/>
      <c r="M13" s="86" t="s">
        <v>52</v>
      </c>
      <c r="N13" s="86" t="s">
        <v>53</v>
      </c>
      <c r="O13" s="92" t="s">
        <v>54</v>
      </c>
      <c r="P13" s="83"/>
      <c r="Q13" s="87"/>
      <c r="R13" s="86" t="s">
        <v>52</v>
      </c>
      <c r="S13" s="86" t="s">
        <v>53</v>
      </c>
      <c r="T13" s="93" t="s">
        <v>54</v>
      </c>
    </row>
    <row r="14" spans="1:31" ht="18" x14ac:dyDescent="0.35">
      <c r="A14" s="1"/>
      <c r="B14" s="1"/>
      <c r="C14" s="20"/>
      <c r="F14" s="1"/>
      <c r="L14" s="85" t="s">
        <v>50</v>
      </c>
      <c r="M14" s="94">
        <f>N10</f>
        <v>-70</v>
      </c>
      <c r="N14" s="58">
        <f>IF(B3=100, VLOOKUP(N10, 'PT100 Tables'!$12:$64, 12), IF(B3=500,VLOOKUP(N10, 'PT500 Tables'!$12:$64, 12), IF(B3=1000, VLOOKUP(N10, 'PT1000 Tables'!$12:$64, 12), VLOOKUP(N10, 'PT-CUSTOM Tables'!$12:$64, 12))))</f>
        <v>-74.097339339588856</v>
      </c>
      <c r="O14" s="95">
        <f>VLOOKUP(N10, 'PT100 Tables'!$12:$64, 13)</f>
        <v>2.1834832902907562</v>
      </c>
      <c r="P14" s="83"/>
      <c r="Q14" s="87" t="s">
        <v>50</v>
      </c>
      <c r="R14" s="94">
        <f>S10</f>
        <v>-70</v>
      </c>
      <c r="S14" s="58">
        <f>IF(B3=100, VLOOKUP(S10, 'PT100 Tables'!$12:$64, 14), IF(B3=500, VLOOKUP(S10, 'PT500 Tables'!$12:$64, 14), IF(B3=1000, VLOOKUP(S10, 'PT1000 Tables'!$12:$64, 14), VLOOKUP(S10, 'PT-CUSTOM Tables'!$12:$64, 14))))</f>
        <v>-87.345101105518054</v>
      </c>
      <c r="T14" s="96">
        <f>VLOOKUP(S10, 'PT100 Tables'!$12:$64, 15)</f>
        <v>9.3335165483824554</v>
      </c>
    </row>
    <row r="15" spans="1:31" ht="18" x14ac:dyDescent="0.35">
      <c r="A15" s="1"/>
      <c r="B15" s="1"/>
      <c r="C15" s="20"/>
      <c r="F15" s="1"/>
      <c r="L15" s="85" t="s">
        <v>89</v>
      </c>
      <c r="M15" s="94">
        <f>N11</f>
        <v>200</v>
      </c>
      <c r="N15" s="58">
        <f>IF(B3=100, VLOOKUP(N11, 'PT100 Tables'!$12:$64, 12), IF(B3=500,VLOOKUP(N11, 'PT500 Tables'!$12:$64, 12), IF(B3=1000, VLOOKUP(N11, 'PT1000 Tables'!$12:$64, 12), VLOOKUP(N11, 'PT-CUSTOM Tables'!$12:$64, 12))))</f>
        <v>185.25892184036974</v>
      </c>
      <c r="O15" s="95">
        <f>VLOOKUP(N11, 'PT100 Tables'!$12:$64, 13)</f>
        <v>-2.9464893392283642</v>
      </c>
      <c r="P15" s="83"/>
      <c r="Q15" s="87" t="s">
        <v>50</v>
      </c>
      <c r="R15" s="94">
        <f>S11</f>
        <v>200</v>
      </c>
      <c r="S15" s="58">
        <f>IF(B3=100, VLOOKUP(S11, 'PT100 Tables'!$12:$64, 14), IF(B3=500, VLOOKUP(S11, 'PT500 Tables'!$12:$64, 14), IF(B3=1000, VLOOKUP(S11, 'PT1000 Tables'!$12:$64, 14), VLOOKUP(S11, 'PT-CUSTOM Tables'!$12:$64, 14))))</f>
        <v>218.38111061837955</v>
      </c>
      <c r="T15" s="96">
        <f>VLOOKUP(S11, 'PT100 Tables'!$12:$64, 15)</f>
        <v>3.844586935473373</v>
      </c>
    </row>
    <row r="16" spans="1:31" ht="18.75" thickBot="1" x14ac:dyDescent="0.4">
      <c r="A16" s="1"/>
      <c r="C16" s="20"/>
      <c r="F16" s="1"/>
      <c r="L16" s="97" t="s">
        <v>51</v>
      </c>
      <c r="M16" s="98">
        <f>N12</f>
        <v>320</v>
      </c>
      <c r="N16" s="99">
        <f>IF(B3=100, VLOOKUP(N12, 'PT100 Tables'!$12:$64, 12), IF(B3=500, VLOOKUP(N12, 'PT500 Tables'!$12:$64, 12), IF(B3=1000, VLOOKUP(N12, 'PT1000 Tables'!$12:$64, 12), VLOOKUP(N12, 'PT-CUSTOM Tables'!$12:$64, 12))))</f>
        <v>280.64597274460147</v>
      </c>
      <c r="O16" s="100">
        <f>VLOOKUP(N12, 'PT100 Tables'!$12:$64, 13)</f>
        <v>-5.1300166111425227</v>
      </c>
      <c r="P16" s="101"/>
      <c r="Q16" s="102" t="s">
        <v>51</v>
      </c>
      <c r="R16" s="98">
        <f>S12</f>
        <v>320</v>
      </c>
      <c r="S16" s="99">
        <f>IF(B3=100,VLOOKUP(S12,'PT100 Tables'!12:64,14),IF(B3=500,VLOOKUP(S12,'PT500 Tables'!12:64,14),IF(B3=1000,VLOOKUP(S12,'PT1000 Tables'!12:64,14),VLOOKUP(S12,'PT-CUSTOM Tables'!12:64,14))))</f>
        <v>330.82228164617516</v>
      </c>
      <c r="T16" s="103">
        <f>VLOOKUP(S12, 'PT100 Tables'!$12:$64, 15)</f>
        <v>1.5082728127744893</v>
      </c>
    </row>
    <row r="17" spans="3:20" ht="15.75" thickBot="1" x14ac:dyDescent="0.3">
      <c r="L17" s="142" t="s">
        <v>85</v>
      </c>
      <c r="M17" s="143"/>
      <c r="N17" s="143"/>
      <c r="O17" s="143"/>
      <c r="P17" s="143"/>
      <c r="Q17" s="143"/>
      <c r="R17" s="143"/>
      <c r="S17" s="143"/>
      <c r="T17" s="144"/>
    </row>
    <row r="18" spans="3:20" x14ac:dyDescent="0.25">
      <c r="C18" s="69"/>
      <c r="L18" s="113" t="s">
        <v>80</v>
      </c>
      <c r="M18" s="114"/>
      <c r="N18" s="116" t="s">
        <v>87</v>
      </c>
      <c r="O18" s="117"/>
      <c r="P18" s="104"/>
      <c r="Q18" s="115" t="s">
        <v>81</v>
      </c>
      <c r="R18" s="114"/>
      <c r="S18" s="116" t="s">
        <v>82</v>
      </c>
      <c r="T18" s="118"/>
    </row>
    <row r="19" spans="3:20" x14ac:dyDescent="0.25">
      <c r="L19" s="124" t="s">
        <v>70</v>
      </c>
      <c r="M19" s="125"/>
      <c r="N19" s="147" t="s">
        <v>69</v>
      </c>
      <c r="O19" s="148"/>
      <c r="P19" s="104"/>
      <c r="Q19" s="125" t="s">
        <v>68</v>
      </c>
      <c r="R19" s="125"/>
      <c r="S19" s="147" t="s">
        <v>82</v>
      </c>
      <c r="T19" s="150"/>
    </row>
    <row r="20" spans="3:20" ht="15.75" thickBot="1" x14ac:dyDescent="0.3">
      <c r="L20" s="145" t="s">
        <v>83</v>
      </c>
      <c r="M20" s="146"/>
      <c r="N20" s="136" t="s">
        <v>84</v>
      </c>
      <c r="O20" s="149"/>
      <c r="P20" s="105"/>
      <c r="Q20" s="135"/>
      <c r="R20" s="135"/>
      <c r="S20" s="136"/>
      <c r="T20" s="137"/>
    </row>
    <row r="27" spans="3:20" x14ac:dyDescent="0.25">
      <c r="L27" s="13"/>
      <c r="M27" s="13"/>
      <c r="O27" s="70"/>
      <c r="Q27" s="13"/>
      <c r="R27" s="13"/>
      <c r="T27" s="70"/>
    </row>
    <row r="28" spans="3:20" x14ac:dyDescent="0.25">
      <c r="L28" s="1"/>
      <c r="M28" s="1"/>
      <c r="O28" s="71"/>
      <c r="Q28" s="13"/>
      <c r="R28" s="13"/>
      <c r="T28" s="71"/>
    </row>
    <row r="29" spans="3:20" x14ac:dyDescent="0.25">
      <c r="L29" s="13"/>
      <c r="M29" s="13"/>
      <c r="O29" s="70"/>
      <c r="Q29" s="13"/>
      <c r="R29" s="13"/>
      <c r="T29" s="70"/>
    </row>
    <row r="30" spans="3:20" x14ac:dyDescent="0.25">
      <c r="M30" s="1"/>
    </row>
    <row r="31" spans="3:20" x14ac:dyDescent="0.25">
      <c r="L31" s="13"/>
      <c r="M31" s="13"/>
      <c r="O31" s="70"/>
      <c r="Q31" s="13"/>
      <c r="R31" s="13"/>
      <c r="T31" s="70"/>
    </row>
    <row r="32" spans="3:20" x14ac:dyDescent="0.25">
      <c r="M32" s="1"/>
    </row>
    <row r="37" spans="3:4" x14ac:dyDescent="0.25">
      <c r="C37" s="69"/>
    </row>
    <row r="38" spans="3:4" x14ac:dyDescent="0.25">
      <c r="C38" s="69"/>
    </row>
    <row r="43" spans="3:4" x14ac:dyDescent="0.25">
      <c r="D43" s="69"/>
    </row>
    <row r="44" spans="3:4" x14ac:dyDescent="0.25">
      <c r="D44" s="69"/>
    </row>
    <row r="45" spans="3:4" x14ac:dyDescent="0.25">
      <c r="D45" s="69"/>
    </row>
    <row r="46" spans="3:4" x14ac:dyDescent="0.25">
      <c r="D46" s="69"/>
    </row>
    <row r="47" spans="3:4" x14ac:dyDescent="0.25">
      <c r="D47" s="69"/>
    </row>
    <row r="48" spans="3:4" x14ac:dyDescent="0.25">
      <c r="D48" s="69"/>
    </row>
    <row r="52" spans="16:18" x14ac:dyDescent="0.25">
      <c r="P52" s="69"/>
      <c r="R52" s="69"/>
    </row>
    <row r="53" spans="16:18" x14ac:dyDescent="0.25">
      <c r="P53" s="69"/>
      <c r="R53" s="69"/>
    </row>
    <row r="54" spans="16:18" x14ac:dyDescent="0.25">
      <c r="P54" s="69"/>
      <c r="R54" s="69"/>
    </row>
    <row r="55" spans="16:18" x14ac:dyDescent="0.25">
      <c r="P55" s="69"/>
      <c r="R55" s="69"/>
    </row>
    <row r="56" spans="16:18" x14ac:dyDescent="0.25">
      <c r="P56" s="69"/>
      <c r="R56" s="69"/>
    </row>
    <row r="57" spans="16:18" x14ac:dyDescent="0.25">
      <c r="P57" s="69"/>
      <c r="R57" s="69"/>
    </row>
  </sheetData>
  <sheetProtection algorithmName="SHA-512" hashValue="1Kyuo6ZOADOMaaTtOQWL5sfphl8d8shOnnBnJs5L353YwwgGYBfnSixA+WWsKayNweyw+tHQwnqmmPaNX4S0xQ==" saltValue="yYJg4/695O2Po64smNwpVg==" spinCount="100000" sheet="1"/>
  <dataConsolidate/>
  <mergeCells count="47">
    <mergeCell ref="A1:I1"/>
    <mergeCell ref="A9:I9"/>
    <mergeCell ref="G4:G5"/>
    <mergeCell ref="H4:H5"/>
    <mergeCell ref="I4:I5"/>
    <mergeCell ref="A2:I2"/>
    <mergeCell ref="A6:I6"/>
    <mergeCell ref="Q11:R11"/>
    <mergeCell ref="L4:M4"/>
    <mergeCell ref="Q8:R8"/>
    <mergeCell ref="L12:M12"/>
    <mergeCell ref="Q12:R12"/>
    <mergeCell ref="L10:M10"/>
    <mergeCell ref="Q10:R10"/>
    <mergeCell ref="L8:M8"/>
    <mergeCell ref="Q5:R5"/>
    <mergeCell ref="Q20:R20"/>
    <mergeCell ref="S20:T20"/>
    <mergeCell ref="C7:D7"/>
    <mergeCell ref="C8:D8"/>
    <mergeCell ref="G7:I7"/>
    <mergeCell ref="G8:I8"/>
    <mergeCell ref="L17:T17"/>
    <mergeCell ref="L19:M19"/>
    <mergeCell ref="L20:M20"/>
    <mergeCell ref="N19:O19"/>
    <mergeCell ref="N20:O20"/>
    <mergeCell ref="Q19:R19"/>
    <mergeCell ref="S19:T19"/>
    <mergeCell ref="L9:T9"/>
    <mergeCell ref="L11:M11"/>
    <mergeCell ref="L2:T2"/>
    <mergeCell ref="V1:AE1"/>
    <mergeCell ref="C10:I10"/>
    <mergeCell ref="L18:M18"/>
    <mergeCell ref="Q18:R18"/>
    <mergeCell ref="N18:O18"/>
    <mergeCell ref="S18:T18"/>
    <mergeCell ref="L1:T1"/>
    <mergeCell ref="L5:M5"/>
    <mergeCell ref="L6:M6"/>
    <mergeCell ref="L7:M7"/>
    <mergeCell ref="L3:O3"/>
    <mergeCell ref="Q3:T3"/>
    <mergeCell ref="Q7:R7"/>
    <mergeCell ref="Q6:R6"/>
    <mergeCell ref="Q4:R4"/>
  </mergeCells>
  <conditionalFormatting sqref="F7">
    <cfRule type="cellIs" dxfId="2" priority="2" operator="lessThan">
      <formula>$B$7</formula>
    </cfRule>
  </conditionalFormatting>
  <conditionalFormatting sqref="F8">
    <cfRule type="cellIs" dxfId="1" priority="3" operator="lessThan">
      <formula>$B$8</formula>
    </cfRule>
  </conditionalFormatting>
  <conditionalFormatting sqref="H3">
    <cfRule type="cellIs" dxfId="0" priority="1" operator="greaterThan">
      <formula>0.5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691021C-2E47-4657-BCE8-168CAA064769}">
          <x14:formula1>
            <xm:f>'STD Vals'!$A$2:$A$7</xm:f>
          </x14:formula1>
          <xm:sqref>F7</xm:sqref>
        </x14:dataValidation>
        <x14:dataValidation type="list" allowBlank="1" showInputMessage="1" showErrorMessage="1" xr:uid="{FF8DF2DD-3322-4CD9-A70E-48373D3651AD}">
          <x14:formula1>
            <xm:f>'STD Vals'!$D$2:$D$5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F0EFF-CA7D-43E8-9DBD-B81D0A0E4883}">
  <sheetPr codeName="Sheet2"/>
  <dimension ref="A1:S56"/>
  <sheetViews>
    <sheetView topLeftCell="A30" workbookViewId="0">
      <selection activeCell="U52" sqref="U52"/>
    </sheetView>
  </sheetViews>
  <sheetFormatPr defaultRowHeight="15" x14ac:dyDescent="0.25"/>
  <cols>
    <col min="2" max="2" width="9.140625" customWidth="1"/>
    <col min="3" max="3" width="9.28515625" bestFit="1" customWidth="1"/>
    <col min="5" max="5" width="10.5703125" bestFit="1" customWidth="1"/>
  </cols>
  <sheetData>
    <row r="1" spans="1:19" ht="15.75" thickBot="1" x14ac:dyDescent="0.3">
      <c r="A1" s="179" t="s">
        <v>1</v>
      </c>
      <c r="B1" s="181" t="s">
        <v>65</v>
      </c>
      <c r="C1" s="182"/>
      <c r="D1" s="183"/>
      <c r="E1" s="1"/>
      <c r="F1" s="179" t="s">
        <v>1</v>
      </c>
      <c r="G1" s="181" t="s">
        <v>65</v>
      </c>
      <c r="H1" s="182"/>
      <c r="I1" s="183"/>
      <c r="J1" s="1"/>
      <c r="K1" s="179" t="s">
        <v>1</v>
      </c>
      <c r="L1" s="181" t="s">
        <v>65</v>
      </c>
      <c r="M1" s="182"/>
      <c r="N1" s="183"/>
      <c r="P1" s="179" t="s">
        <v>1</v>
      </c>
      <c r="Q1" s="181" t="s">
        <v>75</v>
      </c>
      <c r="R1" s="182"/>
      <c r="S1" s="183"/>
    </row>
    <row r="2" spans="1:19" ht="15.75" thickBot="1" x14ac:dyDescent="0.3">
      <c r="A2" s="180"/>
      <c r="B2" s="184" t="s">
        <v>72</v>
      </c>
      <c r="C2" s="185"/>
      <c r="D2" s="186"/>
      <c r="E2" s="73"/>
      <c r="F2" s="180"/>
      <c r="G2" s="184" t="s">
        <v>73</v>
      </c>
      <c r="H2" s="185"/>
      <c r="I2" s="186"/>
      <c r="J2" s="73"/>
      <c r="K2" s="180"/>
      <c r="L2" s="184" t="s">
        <v>74</v>
      </c>
      <c r="M2" s="185"/>
      <c r="N2" s="186"/>
      <c r="P2" s="180"/>
      <c r="Q2" s="184">
        <f>'RTD Data'!B4</f>
        <v>0</v>
      </c>
      <c r="R2" s="185"/>
      <c r="S2" s="186"/>
    </row>
    <row r="3" spans="1:19" x14ac:dyDescent="0.25">
      <c r="A3" s="74">
        <v>-200</v>
      </c>
      <c r="B3" s="187">
        <v>18.52</v>
      </c>
      <c r="C3" s="188"/>
      <c r="D3" s="189"/>
      <c r="E3" s="73"/>
      <c r="F3" s="74">
        <v>-200</v>
      </c>
      <c r="G3" s="187">
        <f>B3*5</f>
        <v>92.6</v>
      </c>
      <c r="H3" s="188"/>
      <c r="I3" s="189"/>
      <c r="J3" s="73"/>
      <c r="K3" s="74">
        <v>-200</v>
      </c>
      <c r="L3" s="187">
        <f>B3*10</f>
        <v>185.2</v>
      </c>
      <c r="M3" s="188"/>
      <c r="N3" s="189"/>
      <c r="P3" s="74">
        <v>-200</v>
      </c>
      <c r="Q3" s="214">
        <v>0</v>
      </c>
      <c r="R3" s="215"/>
      <c r="S3" s="216"/>
    </row>
    <row r="4" spans="1:19" x14ac:dyDescent="0.25">
      <c r="A4" s="75">
        <v>-190</v>
      </c>
      <c r="B4" s="190">
        <v>22.83</v>
      </c>
      <c r="C4" s="191"/>
      <c r="D4" s="192"/>
      <c r="E4" s="73"/>
      <c r="F4" s="75">
        <v>-190</v>
      </c>
      <c r="G4" s="176">
        <f t="shared" ref="G4:G55" si="0">B4*5</f>
        <v>114.14999999999999</v>
      </c>
      <c r="H4" s="177"/>
      <c r="I4" s="178"/>
      <c r="J4" s="73"/>
      <c r="K4" s="75">
        <v>-190</v>
      </c>
      <c r="L4" s="176">
        <f t="shared" ref="L4:L55" si="1">B4*10</f>
        <v>228.29999999999998</v>
      </c>
      <c r="M4" s="177"/>
      <c r="N4" s="178"/>
      <c r="P4" s="75">
        <v>-190</v>
      </c>
      <c r="Q4" s="217">
        <v>0</v>
      </c>
      <c r="R4" s="218"/>
      <c r="S4" s="219"/>
    </row>
    <row r="5" spans="1:19" x14ac:dyDescent="0.25">
      <c r="A5" s="75">
        <v>-180</v>
      </c>
      <c r="B5" s="190">
        <v>27.1</v>
      </c>
      <c r="C5" s="191"/>
      <c r="D5" s="192"/>
      <c r="E5" s="73"/>
      <c r="F5" s="75">
        <v>-180</v>
      </c>
      <c r="G5" s="176">
        <f t="shared" si="0"/>
        <v>135.5</v>
      </c>
      <c r="H5" s="177"/>
      <c r="I5" s="178"/>
      <c r="J5" s="73"/>
      <c r="K5" s="75">
        <v>-180</v>
      </c>
      <c r="L5" s="176">
        <f t="shared" si="1"/>
        <v>271</v>
      </c>
      <c r="M5" s="177"/>
      <c r="N5" s="178"/>
      <c r="P5" s="75">
        <v>-180</v>
      </c>
      <c r="Q5" s="217">
        <v>0</v>
      </c>
      <c r="R5" s="218"/>
      <c r="S5" s="219"/>
    </row>
    <row r="6" spans="1:19" x14ac:dyDescent="0.25">
      <c r="A6" s="75">
        <v>-170</v>
      </c>
      <c r="B6" s="190">
        <v>31.34</v>
      </c>
      <c r="C6" s="191"/>
      <c r="D6" s="192"/>
      <c r="E6" s="73"/>
      <c r="F6" s="75">
        <v>-170</v>
      </c>
      <c r="G6" s="176">
        <f t="shared" si="0"/>
        <v>156.69999999999999</v>
      </c>
      <c r="H6" s="177"/>
      <c r="I6" s="178"/>
      <c r="J6" s="73"/>
      <c r="K6" s="75">
        <v>-170</v>
      </c>
      <c r="L6" s="176">
        <f t="shared" si="1"/>
        <v>313.39999999999998</v>
      </c>
      <c r="M6" s="177"/>
      <c r="N6" s="178"/>
      <c r="P6" s="75">
        <v>-170</v>
      </c>
      <c r="Q6" s="217">
        <v>0</v>
      </c>
      <c r="R6" s="218"/>
      <c r="S6" s="219"/>
    </row>
    <row r="7" spans="1:19" x14ac:dyDescent="0.25">
      <c r="A7" s="75">
        <v>-160</v>
      </c>
      <c r="B7" s="190">
        <v>35.54</v>
      </c>
      <c r="C7" s="191"/>
      <c r="D7" s="192"/>
      <c r="E7" s="73"/>
      <c r="F7" s="75">
        <v>-160</v>
      </c>
      <c r="G7" s="176">
        <f t="shared" si="0"/>
        <v>177.7</v>
      </c>
      <c r="H7" s="177"/>
      <c r="I7" s="178"/>
      <c r="J7" s="73"/>
      <c r="K7" s="75">
        <v>-160</v>
      </c>
      <c r="L7" s="176">
        <f t="shared" si="1"/>
        <v>355.4</v>
      </c>
      <c r="M7" s="177"/>
      <c r="N7" s="178"/>
      <c r="P7" s="75">
        <v>-160</v>
      </c>
      <c r="Q7" s="217">
        <v>0</v>
      </c>
      <c r="R7" s="218"/>
      <c r="S7" s="219"/>
    </row>
    <row r="8" spans="1:19" x14ac:dyDescent="0.25">
      <c r="A8" s="75">
        <v>-150</v>
      </c>
      <c r="B8" s="190">
        <v>39.72</v>
      </c>
      <c r="C8" s="191"/>
      <c r="D8" s="192"/>
      <c r="E8" s="73"/>
      <c r="F8" s="75">
        <v>-150</v>
      </c>
      <c r="G8" s="176">
        <f t="shared" si="0"/>
        <v>198.6</v>
      </c>
      <c r="H8" s="177"/>
      <c r="I8" s="178"/>
      <c r="J8" s="73"/>
      <c r="K8" s="75">
        <v>-150</v>
      </c>
      <c r="L8" s="176">
        <f t="shared" si="1"/>
        <v>397.2</v>
      </c>
      <c r="M8" s="177"/>
      <c r="N8" s="178"/>
      <c r="P8" s="75">
        <v>-150</v>
      </c>
      <c r="Q8" s="217">
        <v>0</v>
      </c>
      <c r="R8" s="218"/>
      <c r="S8" s="219"/>
    </row>
    <row r="9" spans="1:19" x14ac:dyDescent="0.25">
      <c r="A9" s="75">
        <v>-140</v>
      </c>
      <c r="B9" s="190">
        <v>43.88</v>
      </c>
      <c r="C9" s="191"/>
      <c r="D9" s="192"/>
      <c r="E9" s="73"/>
      <c r="F9" s="75">
        <v>-140</v>
      </c>
      <c r="G9" s="176">
        <f t="shared" si="0"/>
        <v>219.4</v>
      </c>
      <c r="H9" s="177"/>
      <c r="I9" s="178"/>
      <c r="J9" s="73"/>
      <c r="K9" s="75">
        <v>-140</v>
      </c>
      <c r="L9" s="176">
        <f t="shared" si="1"/>
        <v>438.8</v>
      </c>
      <c r="M9" s="177"/>
      <c r="N9" s="178"/>
      <c r="P9" s="75">
        <v>-140</v>
      </c>
      <c r="Q9" s="217">
        <v>0</v>
      </c>
      <c r="R9" s="218"/>
      <c r="S9" s="219"/>
    </row>
    <row r="10" spans="1:19" x14ac:dyDescent="0.25">
      <c r="A10" s="75">
        <v>-130</v>
      </c>
      <c r="B10" s="190">
        <v>48</v>
      </c>
      <c r="C10" s="191"/>
      <c r="D10" s="192"/>
      <c r="E10" s="73"/>
      <c r="F10" s="75">
        <v>-130</v>
      </c>
      <c r="G10" s="176">
        <f t="shared" si="0"/>
        <v>240</v>
      </c>
      <c r="H10" s="177"/>
      <c r="I10" s="178"/>
      <c r="J10" s="73"/>
      <c r="K10" s="75">
        <v>-130</v>
      </c>
      <c r="L10" s="176">
        <f t="shared" si="1"/>
        <v>480</v>
      </c>
      <c r="M10" s="177"/>
      <c r="N10" s="178"/>
      <c r="P10" s="75">
        <v>-130</v>
      </c>
      <c r="Q10" s="217">
        <v>6</v>
      </c>
      <c r="R10" s="218"/>
      <c r="S10" s="219"/>
    </row>
    <row r="11" spans="1:19" x14ac:dyDescent="0.25">
      <c r="A11" s="75">
        <v>-120</v>
      </c>
      <c r="B11" s="190">
        <v>52.11</v>
      </c>
      <c r="C11" s="191"/>
      <c r="D11" s="192"/>
      <c r="E11" s="73"/>
      <c r="F11" s="75">
        <v>-120</v>
      </c>
      <c r="G11" s="176">
        <f t="shared" si="0"/>
        <v>260.55</v>
      </c>
      <c r="H11" s="177"/>
      <c r="I11" s="178"/>
      <c r="J11" s="73"/>
      <c r="K11" s="75">
        <v>-120</v>
      </c>
      <c r="L11" s="176">
        <f t="shared" si="1"/>
        <v>521.1</v>
      </c>
      <c r="M11" s="177"/>
      <c r="N11" s="178"/>
      <c r="P11" s="75">
        <v>-120</v>
      </c>
      <c r="Q11" s="217">
        <v>0</v>
      </c>
      <c r="R11" s="218"/>
      <c r="S11" s="219"/>
    </row>
    <row r="12" spans="1:19" x14ac:dyDescent="0.25">
      <c r="A12" s="75">
        <v>-110</v>
      </c>
      <c r="B12" s="190">
        <v>56.19</v>
      </c>
      <c r="C12" s="191"/>
      <c r="D12" s="192"/>
      <c r="E12" s="73"/>
      <c r="F12" s="75">
        <v>-110</v>
      </c>
      <c r="G12" s="176">
        <f t="shared" si="0"/>
        <v>280.95</v>
      </c>
      <c r="H12" s="177"/>
      <c r="I12" s="178"/>
      <c r="J12" s="73"/>
      <c r="K12" s="75">
        <v>-110</v>
      </c>
      <c r="L12" s="176">
        <f t="shared" si="1"/>
        <v>561.9</v>
      </c>
      <c r="M12" s="177"/>
      <c r="N12" s="178"/>
      <c r="P12" s="75">
        <v>-110</v>
      </c>
      <c r="Q12" s="217">
        <v>0</v>
      </c>
      <c r="R12" s="218"/>
      <c r="S12" s="219"/>
    </row>
    <row r="13" spans="1:19" x14ac:dyDescent="0.25">
      <c r="A13" s="75">
        <v>-100</v>
      </c>
      <c r="B13" s="190">
        <v>60.26</v>
      </c>
      <c r="C13" s="191"/>
      <c r="D13" s="192"/>
      <c r="E13" s="73"/>
      <c r="F13" s="75">
        <v>-100</v>
      </c>
      <c r="G13" s="176">
        <f t="shared" si="0"/>
        <v>301.3</v>
      </c>
      <c r="H13" s="177"/>
      <c r="I13" s="178"/>
      <c r="J13" s="73"/>
      <c r="K13" s="75">
        <v>-100</v>
      </c>
      <c r="L13" s="176">
        <f t="shared" si="1"/>
        <v>602.6</v>
      </c>
      <c r="M13" s="177"/>
      <c r="N13" s="178"/>
      <c r="P13" s="75">
        <v>-100</v>
      </c>
      <c r="Q13" s="217">
        <v>0</v>
      </c>
      <c r="R13" s="218"/>
      <c r="S13" s="219"/>
    </row>
    <row r="14" spans="1:19" x14ac:dyDescent="0.25">
      <c r="A14" s="75">
        <v>-90</v>
      </c>
      <c r="B14" s="190">
        <v>64.3</v>
      </c>
      <c r="C14" s="191"/>
      <c r="D14" s="192"/>
      <c r="E14" s="73"/>
      <c r="F14" s="75">
        <v>-90</v>
      </c>
      <c r="G14" s="176">
        <f t="shared" si="0"/>
        <v>321.5</v>
      </c>
      <c r="H14" s="177"/>
      <c r="I14" s="178"/>
      <c r="J14" s="73"/>
      <c r="K14" s="75">
        <v>-90</v>
      </c>
      <c r="L14" s="176">
        <f t="shared" si="1"/>
        <v>643</v>
      </c>
      <c r="M14" s="177"/>
      <c r="N14" s="178"/>
      <c r="P14" s="75">
        <v>-90</v>
      </c>
      <c r="Q14" s="217">
        <v>0</v>
      </c>
      <c r="R14" s="218"/>
      <c r="S14" s="219"/>
    </row>
    <row r="15" spans="1:19" x14ac:dyDescent="0.25">
      <c r="A15" s="75">
        <v>-80</v>
      </c>
      <c r="B15" s="190">
        <v>68.33</v>
      </c>
      <c r="C15" s="191"/>
      <c r="D15" s="192"/>
      <c r="E15" s="73"/>
      <c r="F15" s="75">
        <v>-80</v>
      </c>
      <c r="G15" s="176">
        <f t="shared" si="0"/>
        <v>341.65</v>
      </c>
      <c r="H15" s="177"/>
      <c r="I15" s="178"/>
      <c r="J15" s="73"/>
      <c r="K15" s="75">
        <v>-80</v>
      </c>
      <c r="L15" s="176">
        <f t="shared" si="1"/>
        <v>683.3</v>
      </c>
      <c r="M15" s="177"/>
      <c r="N15" s="178"/>
      <c r="P15" s="75">
        <v>-80</v>
      </c>
      <c r="Q15" s="217">
        <v>0</v>
      </c>
      <c r="R15" s="218"/>
      <c r="S15" s="219"/>
    </row>
    <row r="16" spans="1:19" x14ac:dyDescent="0.25">
      <c r="A16" s="75">
        <v>-70</v>
      </c>
      <c r="B16" s="190">
        <v>72.33</v>
      </c>
      <c r="C16" s="191"/>
      <c r="D16" s="192"/>
      <c r="E16" s="73"/>
      <c r="F16" s="75">
        <v>-70</v>
      </c>
      <c r="G16" s="176">
        <f t="shared" si="0"/>
        <v>361.65</v>
      </c>
      <c r="H16" s="177"/>
      <c r="I16" s="178"/>
      <c r="J16" s="73"/>
      <c r="K16" s="75">
        <v>-70</v>
      </c>
      <c r="L16" s="176">
        <f t="shared" si="1"/>
        <v>723.3</v>
      </c>
      <c r="M16" s="177"/>
      <c r="N16" s="178"/>
      <c r="P16" s="75">
        <v>-70</v>
      </c>
      <c r="Q16" s="217">
        <v>0</v>
      </c>
      <c r="R16" s="218"/>
      <c r="S16" s="219"/>
    </row>
    <row r="17" spans="1:19" x14ac:dyDescent="0.25">
      <c r="A17" s="75">
        <v>-60</v>
      </c>
      <c r="B17" s="190">
        <v>76.33</v>
      </c>
      <c r="C17" s="191"/>
      <c r="D17" s="192"/>
      <c r="E17" s="76"/>
      <c r="F17" s="75">
        <v>-60</v>
      </c>
      <c r="G17" s="176">
        <f t="shared" si="0"/>
        <v>381.65</v>
      </c>
      <c r="H17" s="177"/>
      <c r="I17" s="178"/>
      <c r="J17" s="76"/>
      <c r="K17" s="75">
        <v>-60</v>
      </c>
      <c r="L17" s="176">
        <f t="shared" si="1"/>
        <v>763.3</v>
      </c>
      <c r="M17" s="177"/>
      <c r="N17" s="178"/>
      <c r="P17" s="75">
        <v>-60</v>
      </c>
      <c r="Q17" s="217">
        <v>0</v>
      </c>
      <c r="R17" s="218"/>
      <c r="S17" s="219"/>
    </row>
    <row r="18" spans="1:19" x14ac:dyDescent="0.25">
      <c r="A18" s="75">
        <v>-50</v>
      </c>
      <c r="B18" s="190">
        <v>80.31</v>
      </c>
      <c r="C18" s="191"/>
      <c r="D18" s="192"/>
      <c r="E18" s="76"/>
      <c r="F18" s="75">
        <v>-50</v>
      </c>
      <c r="G18" s="176">
        <f t="shared" si="0"/>
        <v>401.55</v>
      </c>
      <c r="H18" s="177"/>
      <c r="I18" s="178"/>
      <c r="J18" s="76"/>
      <c r="K18" s="75">
        <v>-50</v>
      </c>
      <c r="L18" s="176">
        <f t="shared" si="1"/>
        <v>803.1</v>
      </c>
      <c r="M18" s="177"/>
      <c r="N18" s="178"/>
      <c r="P18" s="75">
        <v>-50</v>
      </c>
      <c r="Q18" s="217">
        <v>0</v>
      </c>
      <c r="R18" s="218"/>
      <c r="S18" s="219"/>
    </row>
    <row r="19" spans="1:19" x14ac:dyDescent="0.25">
      <c r="A19" s="75">
        <v>-40</v>
      </c>
      <c r="B19" s="190">
        <v>84.27</v>
      </c>
      <c r="C19" s="191"/>
      <c r="D19" s="192"/>
      <c r="E19" s="76"/>
      <c r="F19" s="75">
        <v>-40</v>
      </c>
      <c r="G19" s="176">
        <f t="shared" si="0"/>
        <v>421.34999999999997</v>
      </c>
      <c r="H19" s="177"/>
      <c r="I19" s="178"/>
      <c r="J19" s="76"/>
      <c r="K19" s="75">
        <v>-40</v>
      </c>
      <c r="L19" s="176">
        <f t="shared" si="1"/>
        <v>842.69999999999993</v>
      </c>
      <c r="M19" s="177"/>
      <c r="N19" s="178"/>
      <c r="P19" s="75">
        <v>-40</v>
      </c>
      <c r="Q19" s="217">
        <v>0</v>
      </c>
      <c r="R19" s="218"/>
      <c r="S19" s="219"/>
    </row>
    <row r="20" spans="1:19" x14ac:dyDescent="0.25">
      <c r="A20" s="75">
        <v>-30</v>
      </c>
      <c r="B20" s="190">
        <v>88.22</v>
      </c>
      <c r="C20" s="191"/>
      <c r="D20" s="192"/>
      <c r="E20" s="76"/>
      <c r="F20" s="75">
        <v>-30</v>
      </c>
      <c r="G20" s="176">
        <f t="shared" si="0"/>
        <v>441.1</v>
      </c>
      <c r="H20" s="177"/>
      <c r="I20" s="178"/>
      <c r="J20" s="76"/>
      <c r="K20" s="75">
        <v>-30</v>
      </c>
      <c r="L20" s="176">
        <f t="shared" si="1"/>
        <v>882.2</v>
      </c>
      <c r="M20" s="177"/>
      <c r="N20" s="178"/>
      <c r="P20" s="75">
        <v>-30</v>
      </c>
      <c r="Q20" s="217">
        <v>0</v>
      </c>
      <c r="R20" s="218"/>
      <c r="S20" s="219"/>
    </row>
    <row r="21" spans="1:19" x14ac:dyDescent="0.25">
      <c r="A21" s="75">
        <v>-20</v>
      </c>
      <c r="B21" s="190">
        <v>92.16</v>
      </c>
      <c r="C21" s="191"/>
      <c r="D21" s="192"/>
      <c r="E21" s="76"/>
      <c r="F21" s="75">
        <v>-20</v>
      </c>
      <c r="G21" s="176">
        <f t="shared" si="0"/>
        <v>460.79999999999995</v>
      </c>
      <c r="H21" s="177"/>
      <c r="I21" s="178"/>
      <c r="J21" s="76"/>
      <c r="K21" s="75">
        <v>-20</v>
      </c>
      <c r="L21" s="176">
        <f t="shared" si="1"/>
        <v>921.59999999999991</v>
      </c>
      <c r="M21" s="177"/>
      <c r="N21" s="178"/>
      <c r="P21" s="75">
        <v>-20</v>
      </c>
      <c r="Q21" s="217">
        <v>0</v>
      </c>
      <c r="R21" s="218"/>
      <c r="S21" s="219"/>
    </row>
    <row r="22" spans="1:19" x14ac:dyDescent="0.25">
      <c r="A22" s="75">
        <v>-10</v>
      </c>
      <c r="B22" s="190">
        <v>96.09</v>
      </c>
      <c r="C22" s="191"/>
      <c r="D22" s="192"/>
      <c r="E22" s="76"/>
      <c r="F22" s="75">
        <v>-10</v>
      </c>
      <c r="G22" s="176">
        <f t="shared" si="0"/>
        <v>480.45000000000005</v>
      </c>
      <c r="H22" s="177"/>
      <c r="I22" s="178"/>
      <c r="J22" s="76"/>
      <c r="K22" s="75">
        <v>-10</v>
      </c>
      <c r="L22" s="176">
        <f t="shared" si="1"/>
        <v>960.90000000000009</v>
      </c>
      <c r="M22" s="177"/>
      <c r="N22" s="178"/>
      <c r="P22" s="75">
        <v>-10</v>
      </c>
      <c r="Q22" s="217">
        <v>0</v>
      </c>
      <c r="R22" s="218"/>
      <c r="S22" s="219"/>
    </row>
    <row r="23" spans="1:19" x14ac:dyDescent="0.25">
      <c r="A23" s="77">
        <v>0</v>
      </c>
      <c r="B23" s="190">
        <v>100</v>
      </c>
      <c r="C23" s="191"/>
      <c r="D23" s="192"/>
      <c r="E23" s="76"/>
      <c r="F23" s="77">
        <v>0</v>
      </c>
      <c r="G23" s="176">
        <f t="shared" si="0"/>
        <v>500</v>
      </c>
      <c r="H23" s="177"/>
      <c r="I23" s="178"/>
      <c r="J23" s="76"/>
      <c r="K23" s="77">
        <v>0</v>
      </c>
      <c r="L23" s="176">
        <f t="shared" si="1"/>
        <v>1000</v>
      </c>
      <c r="M23" s="177"/>
      <c r="N23" s="178"/>
      <c r="P23" s="77">
        <v>0</v>
      </c>
      <c r="Q23" s="217">
        <v>0</v>
      </c>
      <c r="R23" s="218"/>
      <c r="S23" s="219"/>
    </row>
    <row r="24" spans="1:19" x14ac:dyDescent="0.25">
      <c r="A24" s="77">
        <v>10</v>
      </c>
      <c r="B24" s="190">
        <v>103.9</v>
      </c>
      <c r="C24" s="191"/>
      <c r="D24" s="192"/>
      <c r="E24" s="76"/>
      <c r="F24" s="77">
        <v>10</v>
      </c>
      <c r="G24" s="176">
        <f t="shared" si="0"/>
        <v>519.5</v>
      </c>
      <c r="H24" s="177"/>
      <c r="I24" s="178"/>
      <c r="J24" s="76"/>
      <c r="K24" s="77">
        <v>10</v>
      </c>
      <c r="L24" s="176">
        <f t="shared" si="1"/>
        <v>1039</v>
      </c>
      <c r="M24" s="177"/>
      <c r="N24" s="178"/>
      <c r="P24" s="77">
        <v>10</v>
      </c>
      <c r="Q24" s="217">
        <v>0</v>
      </c>
      <c r="R24" s="218"/>
      <c r="S24" s="219"/>
    </row>
    <row r="25" spans="1:19" x14ac:dyDescent="0.25">
      <c r="A25" s="77">
        <v>20</v>
      </c>
      <c r="B25" s="190">
        <v>107.79</v>
      </c>
      <c r="C25" s="191"/>
      <c r="D25" s="192"/>
      <c r="E25" s="76"/>
      <c r="F25" s="77">
        <v>20</v>
      </c>
      <c r="G25" s="176">
        <f t="shared" si="0"/>
        <v>538.95000000000005</v>
      </c>
      <c r="H25" s="177"/>
      <c r="I25" s="178"/>
      <c r="J25" s="76"/>
      <c r="K25" s="77">
        <v>20</v>
      </c>
      <c r="L25" s="176">
        <f t="shared" si="1"/>
        <v>1077.9000000000001</v>
      </c>
      <c r="M25" s="177"/>
      <c r="N25" s="178"/>
      <c r="P25" s="77">
        <v>20</v>
      </c>
      <c r="Q25" s="217">
        <v>0</v>
      </c>
      <c r="R25" s="218"/>
      <c r="S25" s="219"/>
    </row>
    <row r="26" spans="1:19" x14ac:dyDescent="0.25">
      <c r="A26" s="77">
        <v>30</v>
      </c>
      <c r="B26" s="190">
        <v>111.67</v>
      </c>
      <c r="C26" s="191"/>
      <c r="D26" s="192"/>
      <c r="E26" s="76"/>
      <c r="F26" s="77">
        <v>30</v>
      </c>
      <c r="G26" s="176">
        <f t="shared" si="0"/>
        <v>558.35</v>
      </c>
      <c r="H26" s="177"/>
      <c r="I26" s="178"/>
      <c r="J26" s="76"/>
      <c r="K26" s="77">
        <v>30</v>
      </c>
      <c r="L26" s="176">
        <f t="shared" si="1"/>
        <v>1116.7</v>
      </c>
      <c r="M26" s="177"/>
      <c r="N26" s="178"/>
      <c r="P26" s="77">
        <v>30</v>
      </c>
      <c r="Q26" s="217">
        <v>0</v>
      </c>
      <c r="R26" s="218"/>
      <c r="S26" s="219"/>
    </row>
    <row r="27" spans="1:19" x14ac:dyDescent="0.25">
      <c r="A27" s="77">
        <v>40</v>
      </c>
      <c r="B27" s="190">
        <v>115.54</v>
      </c>
      <c r="C27" s="191"/>
      <c r="D27" s="192"/>
      <c r="E27" s="76"/>
      <c r="F27" s="77">
        <v>40</v>
      </c>
      <c r="G27" s="176">
        <f t="shared" si="0"/>
        <v>577.70000000000005</v>
      </c>
      <c r="H27" s="177"/>
      <c r="I27" s="178"/>
      <c r="J27" s="76"/>
      <c r="K27" s="77">
        <v>40</v>
      </c>
      <c r="L27" s="176">
        <f t="shared" si="1"/>
        <v>1155.4000000000001</v>
      </c>
      <c r="M27" s="177"/>
      <c r="N27" s="178"/>
      <c r="P27" s="77">
        <v>40</v>
      </c>
      <c r="Q27" s="217">
        <v>0</v>
      </c>
      <c r="R27" s="218"/>
      <c r="S27" s="219"/>
    </row>
    <row r="28" spans="1:19" x14ac:dyDescent="0.25">
      <c r="A28" s="77">
        <v>50</v>
      </c>
      <c r="B28" s="190">
        <v>119.4</v>
      </c>
      <c r="C28" s="191"/>
      <c r="D28" s="192"/>
      <c r="E28" s="76"/>
      <c r="F28" s="77">
        <v>50</v>
      </c>
      <c r="G28" s="176">
        <f t="shared" si="0"/>
        <v>597</v>
      </c>
      <c r="H28" s="177"/>
      <c r="I28" s="178"/>
      <c r="J28" s="76"/>
      <c r="K28" s="77">
        <v>50</v>
      </c>
      <c r="L28" s="176">
        <f t="shared" si="1"/>
        <v>1194</v>
      </c>
      <c r="M28" s="177"/>
      <c r="N28" s="178"/>
      <c r="P28" s="77">
        <v>50</v>
      </c>
      <c r="Q28" s="217">
        <v>6</v>
      </c>
      <c r="R28" s="218"/>
      <c r="S28" s="219"/>
    </row>
    <row r="29" spans="1:19" x14ac:dyDescent="0.25">
      <c r="A29" s="77">
        <v>60</v>
      </c>
      <c r="B29" s="190">
        <v>123.24</v>
      </c>
      <c r="C29" s="191"/>
      <c r="D29" s="192"/>
      <c r="E29" s="76"/>
      <c r="F29" s="77">
        <v>60</v>
      </c>
      <c r="G29" s="176">
        <f t="shared" si="0"/>
        <v>616.19999999999993</v>
      </c>
      <c r="H29" s="177"/>
      <c r="I29" s="178"/>
      <c r="J29" s="76"/>
      <c r="K29" s="77">
        <v>60</v>
      </c>
      <c r="L29" s="176">
        <f t="shared" si="1"/>
        <v>1232.3999999999999</v>
      </c>
      <c r="M29" s="177"/>
      <c r="N29" s="178"/>
      <c r="P29" s="77">
        <v>60</v>
      </c>
      <c r="Q29" s="217">
        <v>0</v>
      </c>
      <c r="R29" s="218"/>
      <c r="S29" s="219"/>
    </row>
    <row r="30" spans="1:19" x14ac:dyDescent="0.25">
      <c r="A30" s="77">
        <v>70</v>
      </c>
      <c r="B30" s="190">
        <v>127.08</v>
      </c>
      <c r="C30" s="191"/>
      <c r="D30" s="192"/>
      <c r="E30" s="76"/>
      <c r="F30" s="77">
        <v>70</v>
      </c>
      <c r="G30" s="176">
        <f t="shared" si="0"/>
        <v>635.4</v>
      </c>
      <c r="H30" s="177"/>
      <c r="I30" s="178"/>
      <c r="J30" s="76"/>
      <c r="K30" s="77">
        <v>70</v>
      </c>
      <c r="L30" s="176">
        <f t="shared" si="1"/>
        <v>1270.8</v>
      </c>
      <c r="M30" s="177"/>
      <c r="N30" s="178"/>
      <c r="P30" s="77">
        <v>70</v>
      </c>
      <c r="Q30" s="217">
        <v>0</v>
      </c>
      <c r="R30" s="218"/>
      <c r="S30" s="219"/>
    </row>
    <row r="31" spans="1:19" x14ac:dyDescent="0.25">
      <c r="A31" s="77">
        <v>80</v>
      </c>
      <c r="B31" s="190">
        <v>130.9</v>
      </c>
      <c r="C31" s="191"/>
      <c r="D31" s="192"/>
      <c r="E31" s="76"/>
      <c r="F31" s="77">
        <v>80</v>
      </c>
      <c r="G31" s="176">
        <f t="shared" si="0"/>
        <v>654.5</v>
      </c>
      <c r="H31" s="177"/>
      <c r="I31" s="178"/>
      <c r="J31" s="76"/>
      <c r="K31" s="77">
        <v>80</v>
      </c>
      <c r="L31" s="176">
        <f t="shared" si="1"/>
        <v>1309</v>
      </c>
      <c r="M31" s="177"/>
      <c r="N31" s="178"/>
      <c r="P31" s="77">
        <v>80</v>
      </c>
      <c r="Q31" s="217">
        <v>0</v>
      </c>
      <c r="R31" s="218"/>
      <c r="S31" s="219"/>
    </row>
    <row r="32" spans="1:19" x14ac:dyDescent="0.25">
      <c r="A32" s="77">
        <v>90</v>
      </c>
      <c r="B32" s="190">
        <v>134.71</v>
      </c>
      <c r="C32" s="191"/>
      <c r="D32" s="192"/>
      <c r="E32" s="76"/>
      <c r="F32" s="77">
        <v>90</v>
      </c>
      <c r="G32" s="176">
        <f t="shared" si="0"/>
        <v>673.55000000000007</v>
      </c>
      <c r="H32" s="177"/>
      <c r="I32" s="178"/>
      <c r="J32" s="76"/>
      <c r="K32" s="77">
        <v>90</v>
      </c>
      <c r="L32" s="176">
        <f t="shared" si="1"/>
        <v>1347.1000000000001</v>
      </c>
      <c r="M32" s="177"/>
      <c r="N32" s="178"/>
      <c r="P32" s="77">
        <v>90</v>
      </c>
      <c r="Q32" s="217">
        <v>0</v>
      </c>
      <c r="R32" s="218"/>
      <c r="S32" s="219"/>
    </row>
    <row r="33" spans="1:19" x14ac:dyDescent="0.25">
      <c r="A33" s="77">
        <v>100</v>
      </c>
      <c r="B33" s="190">
        <v>138.51</v>
      </c>
      <c r="C33" s="191"/>
      <c r="D33" s="192"/>
      <c r="E33" s="76"/>
      <c r="F33" s="77">
        <v>100</v>
      </c>
      <c r="G33" s="176">
        <f t="shared" si="0"/>
        <v>692.55</v>
      </c>
      <c r="H33" s="177"/>
      <c r="I33" s="178"/>
      <c r="J33" s="76"/>
      <c r="K33" s="77">
        <v>100</v>
      </c>
      <c r="L33" s="176">
        <f t="shared" si="1"/>
        <v>1385.1</v>
      </c>
      <c r="M33" s="177"/>
      <c r="N33" s="178"/>
      <c r="P33" s="77">
        <v>100</v>
      </c>
      <c r="Q33" s="217">
        <v>0</v>
      </c>
      <c r="R33" s="218"/>
      <c r="S33" s="219"/>
    </row>
    <row r="34" spans="1:19" x14ac:dyDescent="0.25">
      <c r="A34" s="77">
        <v>110</v>
      </c>
      <c r="B34" s="190">
        <v>142.29</v>
      </c>
      <c r="C34" s="191"/>
      <c r="D34" s="192"/>
      <c r="E34" s="76"/>
      <c r="F34" s="77">
        <v>110</v>
      </c>
      <c r="G34" s="176">
        <f t="shared" si="0"/>
        <v>711.44999999999993</v>
      </c>
      <c r="H34" s="177"/>
      <c r="I34" s="178"/>
      <c r="J34" s="76"/>
      <c r="K34" s="77">
        <v>110</v>
      </c>
      <c r="L34" s="176">
        <f t="shared" si="1"/>
        <v>1422.8999999999999</v>
      </c>
      <c r="M34" s="177"/>
      <c r="N34" s="178"/>
      <c r="P34" s="77">
        <v>110</v>
      </c>
      <c r="Q34" s="217">
        <v>0</v>
      </c>
      <c r="R34" s="218"/>
      <c r="S34" s="219"/>
    </row>
    <row r="35" spans="1:19" x14ac:dyDescent="0.25">
      <c r="A35" s="77">
        <v>120</v>
      </c>
      <c r="B35" s="190">
        <v>146.07</v>
      </c>
      <c r="C35" s="191"/>
      <c r="D35" s="192"/>
      <c r="E35" s="76"/>
      <c r="F35" s="77">
        <v>120</v>
      </c>
      <c r="G35" s="176">
        <f t="shared" si="0"/>
        <v>730.34999999999991</v>
      </c>
      <c r="H35" s="177"/>
      <c r="I35" s="178"/>
      <c r="J35" s="76"/>
      <c r="K35" s="77">
        <v>120</v>
      </c>
      <c r="L35" s="176">
        <f t="shared" si="1"/>
        <v>1460.6999999999998</v>
      </c>
      <c r="M35" s="177"/>
      <c r="N35" s="178"/>
      <c r="P35" s="77">
        <v>120</v>
      </c>
      <c r="Q35" s="217">
        <v>0</v>
      </c>
      <c r="R35" s="218"/>
      <c r="S35" s="219"/>
    </row>
    <row r="36" spans="1:19" x14ac:dyDescent="0.25">
      <c r="A36" s="77">
        <v>130</v>
      </c>
      <c r="B36" s="190">
        <v>149.83000000000001</v>
      </c>
      <c r="C36" s="191"/>
      <c r="D36" s="192"/>
      <c r="E36" s="76"/>
      <c r="F36" s="77">
        <v>130</v>
      </c>
      <c r="G36" s="176">
        <f t="shared" si="0"/>
        <v>749.15000000000009</v>
      </c>
      <c r="H36" s="177"/>
      <c r="I36" s="178"/>
      <c r="J36" s="76"/>
      <c r="K36" s="77">
        <v>130</v>
      </c>
      <c r="L36" s="176">
        <f t="shared" si="1"/>
        <v>1498.3000000000002</v>
      </c>
      <c r="M36" s="177"/>
      <c r="N36" s="178"/>
      <c r="P36" s="77">
        <v>130</v>
      </c>
      <c r="Q36" s="217">
        <v>0</v>
      </c>
      <c r="R36" s="218"/>
      <c r="S36" s="219"/>
    </row>
    <row r="37" spans="1:19" x14ac:dyDescent="0.25">
      <c r="A37" s="77">
        <v>140</v>
      </c>
      <c r="B37" s="190">
        <v>153.58000000000001</v>
      </c>
      <c r="C37" s="191"/>
      <c r="D37" s="192"/>
      <c r="E37" s="76"/>
      <c r="F37" s="77">
        <v>140</v>
      </c>
      <c r="G37" s="176">
        <f t="shared" si="0"/>
        <v>767.90000000000009</v>
      </c>
      <c r="H37" s="177"/>
      <c r="I37" s="178"/>
      <c r="J37" s="76"/>
      <c r="K37" s="77">
        <v>140</v>
      </c>
      <c r="L37" s="176">
        <f t="shared" si="1"/>
        <v>1535.8000000000002</v>
      </c>
      <c r="M37" s="177"/>
      <c r="N37" s="178"/>
      <c r="P37" s="77">
        <v>140</v>
      </c>
      <c r="Q37" s="217">
        <v>0</v>
      </c>
      <c r="R37" s="218"/>
      <c r="S37" s="219"/>
    </row>
    <row r="38" spans="1:19" x14ac:dyDescent="0.25">
      <c r="A38" s="77">
        <v>150</v>
      </c>
      <c r="B38" s="190">
        <v>157.33000000000001</v>
      </c>
      <c r="C38" s="191"/>
      <c r="D38" s="192"/>
      <c r="E38" s="76"/>
      <c r="F38" s="77">
        <v>150</v>
      </c>
      <c r="G38" s="176">
        <f t="shared" si="0"/>
        <v>786.65000000000009</v>
      </c>
      <c r="H38" s="177"/>
      <c r="I38" s="178"/>
      <c r="J38" s="76"/>
      <c r="K38" s="77">
        <v>150</v>
      </c>
      <c r="L38" s="176">
        <f t="shared" si="1"/>
        <v>1573.3000000000002</v>
      </c>
      <c r="M38" s="177"/>
      <c r="N38" s="178"/>
      <c r="P38" s="77">
        <v>150</v>
      </c>
      <c r="Q38" s="217">
        <v>0</v>
      </c>
      <c r="R38" s="218"/>
      <c r="S38" s="219"/>
    </row>
    <row r="39" spans="1:19" x14ac:dyDescent="0.25">
      <c r="A39" s="77">
        <v>160</v>
      </c>
      <c r="B39" s="190">
        <v>161.05000000000001</v>
      </c>
      <c r="C39" s="191"/>
      <c r="D39" s="192"/>
      <c r="E39" s="76"/>
      <c r="F39" s="77">
        <v>160</v>
      </c>
      <c r="G39" s="176">
        <f t="shared" si="0"/>
        <v>805.25</v>
      </c>
      <c r="H39" s="177"/>
      <c r="I39" s="178"/>
      <c r="J39" s="76"/>
      <c r="K39" s="77">
        <v>160</v>
      </c>
      <c r="L39" s="176">
        <f t="shared" si="1"/>
        <v>1610.5</v>
      </c>
      <c r="M39" s="177"/>
      <c r="N39" s="178"/>
      <c r="P39" s="77">
        <v>160</v>
      </c>
      <c r="Q39" s="217">
        <v>0</v>
      </c>
      <c r="R39" s="218"/>
      <c r="S39" s="219"/>
    </row>
    <row r="40" spans="1:19" x14ac:dyDescent="0.25">
      <c r="A40" s="77">
        <v>170</v>
      </c>
      <c r="B40" s="190">
        <v>164.77</v>
      </c>
      <c r="C40" s="191"/>
      <c r="D40" s="192"/>
      <c r="E40" s="76"/>
      <c r="F40" s="77">
        <v>170</v>
      </c>
      <c r="G40" s="176">
        <f t="shared" si="0"/>
        <v>823.85</v>
      </c>
      <c r="H40" s="177"/>
      <c r="I40" s="178"/>
      <c r="J40" s="76"/>
      <c r="K40" s="77">
        <v>170</v>
      </c>
      <c r="L40" s="176">
        <f t="shared" si="1"/>
        <v>1647.7</v>
      </c>
      <c r="M40" s="177"/>
      <c r="N40" s="178"/>
      <c r="P40" s="77">
        <v>170</v>
      </c>
      <c r="Q40" s="217">
        <v>0</v>
      </c>
      <c r="R40" s="218"/>
      <c r="S40" s="219"/>
    </row>
    <row r="41" spans="1:19" x14ac:dyDescent="0.25">
      <c r="A41" s="77">
        <v>180</v>
      </c>
      <c r="B41" s="190">
        <v>168.48</v>
      </c>
      <c r="C41" s="191"/>
      <c r="D41" s="192"/>
      <c r="E41" s="76"/>
      <c r="F41" s="77">
        <v>180</v>
      </c>
      <c r="G41" s="176">
        <f t="shared" si="0"/>
        <v>842.4</v>
      </c>
      <c r="H41" s="177"/>
      <c r="I41" s="178"/>
      <c r="J41" s="76"/>
      <c r="K41" s="77">
        <v>180</v>
      </c>
      <c r="L41" s="176">
        <f t="shared" si="1"/>
        <v>1684.8</v>
      </c>
      <c r="M41" s="177"/>
      <c r="N41" s="178"/>
      <c r="P41" s="77">
        <v>180</v>
      </c>
      <c r="Q41" s="217">
        <v>0</v>
      </c>
      <c r="R41" s="218"/>
      <c r="S41" s="219"/>
    </row>
    <row r="42" spans="1:19" x14ac:dyDescent="0.25">
      <c r="A42" s="77">
        <v>190</v>
      </c>
      <c r="B42" s="190">
        <v>172.17</v>
      </c>
      <c r="C42" s="191"/>
      <c r="D42" s="192"/>
      <c r="E42" s="76"/>
      <c r="F42" s="77">
        <v>190</v>
      </c>
      <c r="G42" s="176">
        <f t="shared" si="0"/>
        <v>860.84999999999991</v>
      </c>
      <c r="H42" s="177"/>
      <c r="I42" s="178"/>
      <c r="J42" s="76"/>
      <c r="K42" s="77">
        <v>190</v>
      </c>
      <c r="L42" s="176">
        <f t="shared" si="1"/>
        <v>1721.6999999999998</v>
      </c>
      <c r="M42" s="177"/>
      <c r="N42" s="178"/>
      <c r="P42" s="77">
        <v>190</v>
      </c>
      <c r="Q42" s="217">
        <v>0</v>
      </c>
      <c r="R42" s="218"/>
      <c r="S42" s="219"/>
    </row>
    <row r="43" spans="1:19" x14ac:dyDescent="0.25">
      <c r="A43" s="77">
        <v>200</v>
      </c>
      <c r="B43" s="190">
        <v>175.86</v>
      </c>
      <c r="C43" s="191"/>
      <c r="D43" s="192"/>
      <c r="E43" s="76"/>
      <c r="F43" s="77">
        <v>200</v>
      </c>
      <c r="G43" s="176">
        <f t="shared" si="0"/>
        <v>879.30000000000007</v>
      </c>
      <c r="H43" s="177"/>
      <c r="I43" s="178"/>
      <c r="J43" s="76"/>
      <c r="K43" s="77">
        <v>200</v>
      </c>
      <c r="L43" s="176">
        <f t="shared" si="1"/>
        <v>1758.6000000000001</v>
      </c>
      <c r="M43" s="177"/>
      <c r="N43" s="178"/>
      <c r="P43" s="77">
        <v>200</v>
      </c>
      <c r="Q43" s="217">
        <v>0</v>
      </c>
      <c r="R43" s="218"/>
      <c r="S43" s="219"/>
    </row>
    <row r="44" spans="1:19" x14ac:dyDescent="0.25">
      <c r="A44" s="77">
        <v>210</v>
      </c>
      <c r="B44" s="190">
        <v>179.53</v>
      </c>
      <c r="C44" s="191"/>
      <c r="D44" s="192"/>
      <c r="E44" s="76"/>
      <c r="F44" s="77">
        <v>210</v>
      </c>
      <c r="G44" s="176">
        <f t="shared" si="0"/>
        <v>897.65</v>
      </c>
      <c r="H44" s="177"/>
      <c r="I44" s="178"/>
      <c r="J44" s="76"/>
      <c r="K44" s="77">
        <v>210</v>
      </c>
      <c r="L44" s="176">
        <f t="shared" si="1"/>
        <v>1795.3</v>
      </c>
      <c r="M44" s="177"/>
      <c r="N44" s="178"/>
      <c r="P44" s="77">
        <v>210</v>
      </c>
      <c r="Q44" s="217">
        <v>0</v>
      </c>
      <c r="R44" s="218"/>
      <c r="S44" s="219"/>
    </row>
    <row r="45" spans="1:19" x14ac:dyDescent="0.25">
      <c r="A45" s="77">
        <v>220</v>
      </c>
      <c r="B45" s="190">
        <v>183.19</v>
      </c>
      <c r="C45" s="191"/>
      <c r="D45" s="192"/>
      <c r="E45" s="76"/>
      <c r="F45" s="77">
        <v>220</v>
      </c>
      <c r="G45" s="176">
        <f t="shared" si="0"/>
        <v>915.95</v>
      </c>
      <c r="H45" s="177"/>
      <c r="I45" s="178"/>
      <c r="J45" s="76"/>
      <c r="K45" s="77">
        <v>220</v>
      </c>
      <c r="L45" s="176">
        <f t="shared" si="1"/>
        <v>1831.9</v>
      </c>
      <c r="M45" s="177"/>
      <c r="N45" s="178"/>
      <c r="P45" s="77">
        <v>220</v>
      </c>
      <c r="Q45" s="217">
        <v>0</v>
      </c>
      <c r="R45" s="218"/>
      <c r="S45" s="219"/>
    </row>
    <row r="46" spans="1:19" x14ac:dyDescent="0.25">
      <c r="A46" s="77">
        <v>230</v>
      </c>
      <c r="B46" s="190">
        <v>186.84</v>
      </c>
      <c r="C46" s="191"/>
      <c r="D46" s="192"/>
      <c r="E46" s="76"/>
      <c r="F46" s="77">
        <v>230</v>
      </c>
      <c r="G46" s="176">
        <f t="shared" si="0"/>
        <v>934.2</v>
      </c>
      <c r="H46" s="177"/>
      <c r="I46" s="178"/>
      <c r="J46" s="76"/>
      <c r="K46" s="77">
        <v>230</v>
      </c>
      <c r="L46" s="176">
        <f t="shared" si="1"/>
        <v>1868.4</v>
      </c>
      <c r="M46" s="177"/>
      <c r="N46" s="178"/>
      <c r="P46" s="77">
        <v>230</v>
      </c>
      <c r="Q46" s="217">
        <v>0</v>
      </c>
      <c r="R46" s="218"/>
      <c r="S46" s="219"/>
    </row>
    <row r="47" spans="1:19" x14ac:dyDescent="0.25">
      <c r="A47" s="77">
        <v>240</v>
      </c>
      <c r="B47" s="190">
        <v>190.47</v>
      </c>
      <c r="C47" s="191"/>
      <c r="D47" s="192"/>
      <c r="E47" s="76"/>
      <c r="F47" s="77">
        <v>240</v>
      </c>
      <c r="G47" s="176">
        <f t="shared" si="0"/>
        <v>952.35</v>
      </c>
      <c r="H47" s="177"/>
      <c r="I47" s="178"/>
      <c r="J47" s="76"/>
      <c r="K47" s="77">
        <v>240</v>
      </c>
      <c r="L47" s="176">
        <f t="shared" si="1"/>
        <v>1904.7</v>
      </c>
      <c r="M47" s="177"/>
      <c r="N47" s="178"/>
      <c r="P47" s="77">
        <v>240</v>
      </c>
      <c r="Q47" s="217">
        <v>0</v>
      </c>
      <c r="R47" s="218"/>
      <c r="S47" s="219"/>
    </row>
    <row r="48" spans="1:19" x14ac:dyDescent="0.25">
      <c r="A48" s="77">
        <v>250</v>
      </c>
      <c r="B48" s="190">
        <v>194.1</v>
      </c>
      <c r="C48" s="191"/>
      <c r="D48" s="192"/>
      <c r="E48" s="76"/>
      <c r="F48" s="77">
        <v>250</v>
      </c>
      <c r="G48" s="176">
        <f t="shared" si="0"/>
        <v>970.5</v>
      </c>
      <c r="H48" s="177"/>
      <c r="I48" s="178"/>
      <c r="J48" s="76"/>
      <c r="K48" s="77">
        <v>250</v>
      </c>
      <c r="L48" s="176">
        <f t="shared" si="1"/>
        <v>1941</v>
      </c>
      <c r="M48" s="177"/>
      <c r="N48" s="178"/>
      <c r="P48" s="77">
        <v>250</v>
      </c>
      <c r="Q48" s="217">
        <v>0</v>
      </c>
      <c r="R48" s="218"/>
      <c r="S48" s="219"/>
    </row>
    <row r="49" spans="1:19" x14ac:dyDescent="0.25">
      <c r="A49" s="77">
        <v>260</v>
      </c>
      <c r="B49" s="190">
        <v>197.71</v>
      </c>
      <c r="C49" s="191"/>
      <c r="D49" s="192"/>
      <c r="E49" s="76"/>
      <c r="F49" s="77">
        <v>260</v>
      </c>
      <c r="G49" s="176">
        <f t="shared" si="0"/>
        <v>988.55000000000007</v>
      </c>
      <c r="H49" s="177"/>
      <c r="I49" s="178"/>
      <c r="J49" s="76"/>
      <c r="K49" s="77">
        <v>260</v>
      </c>
      <c r="L49" s="176">
        <f t="shared" si="1"/>
        <v>1977.1000000000001</v>
      </c>
      <c r="M49" s="177"/>
      <c r="N49" s="178"/>
      <c r="P49" s="77">
        <v>260</v>
      </c>
      <c r="Q49" s="217">
        <v>0</v>
      </c>
      <c r="R49" s="218"/>
      <c r="S49" s="219"/>
    </row>
    <row r="50" spans="1:19" x14ac:dyDescent="0.25">
      <c r="A50" s="77">
        <v>270</v>
      </c>
      <c r="B50" s="190">
        <v>201.31</v>
      </c>
      <c r="C50" s="191"/>
      <c r="D50" s="192"/>
      <c r="E50" s="76"/>
      <c r="F50" s="77">
        <v>270</v>
      </c>
      <c r="G50" s="176">
        <f t="shared" si="0"/>
        <v>1006.55</v>
      </c>
      <c r="H50" s="177"/>
      <c r="I50" s="178"/>
      <c r="J50" s="76"/>
      <c r="K50" s="77">
        <v>270</v>
      </c>
      <c r="L50" s="176">
        <f t="shared" si="1"/>
        <v>2013.1</v>
      </c>
      <c r="M50" s="177"/>
      <c r="N50" s="178"/>
      <c r="P50" s="77">
        <v>270</v>
      </c>
      <c r="Q50" s="217">
        <v>0</v>
      </c>
      <c r="R50" s="218"/>
      <c r="S50" s="219"/>
    </row>
    <row r="51" spans="1:19" x14ac:dyDescent="0.25">
      <c r="A51" s="77">
        <v>280</v>
      </c>
      <c r="B51" s="190">
        <v>204.9</v>
      </c>
      <c r="C51" s="191"/>
      <c r="D51" s="192"/>
      <c r="E51" s="76"/>
      <c r="F51" s="77">
        <v>280</v>
      </c>
      <c r="G51" s="176">
        <f t="shared" si="0"/>
        <v>1024.5</v>
      </c>
      <c r="H51" s="177"/>
      <c r="I51" s="178"/>
      <c r="J51" s="76"/>
      <c r="K51" s="77">
        <v>280</v>
      </c>
      <c r="L51" s="176">
        <f t="shared" si="1"/>
        <v>2049</v>
      </c>
      <c r="M51" s="177"/>
      <c r="N51" s="178"/>
      <c r="P51" s="77">
        <v>280</v>
      </c>
      <c r="Q51" s="217">
        <v>0</v>
      </c>
      <c r="R51" s="218"/>
      <c r="S51" s="219"/>
    </row>
    <row r="52" spans="1:19" x14ac:dyDescent="0.25">
      <c r="A52" s="77">
        <v>290</v>
      </c>
      <c r="B52" s="190">
        <v>208.48</v>
      </c>
      <c r="C52" s="191"/>
      <c r="D52" s="192"/>
      <c r="E52" s="76"/>
      <c r="F52" s="77">
        <v>290</v>
      </c>
      <c r="G52" s="176">
        <f t="shared" si="0"/>
        <v>1042.3999999999999</v>
      </c>
      <c r="H52" s="177"/>
      <c r="I52" s="178"/>
      <c r="J52" s="76"/>
      <c r="K52" s="77">
        <v>290</v>
      </c>
      <c r="L52" s="176">
        <f t="shared" si="1"/>
        <v>2084.7999999999997</v>
      </c>
      <c r="M52" s="177"/>
      <c r="N52" s="178"/>
      <c r="P52" s="77">
        <v>290</v>
      </c>
      <c r="Q52" s="217">
        <v>0</v>
      </c>
      <c r="R52" s="218"/>
      <c r="S52" s="219"/>
    </row>
    <row r="53" spans="1:19" x14ac:dyDescent="0.25">
      <c r="A53" s="77">
        <v>300</v>
      </c>
      <c r="B53" s="190">
        <v>212.05</v>
      </c>
      <c r="C53" s="191"/>
      <c r="D53" s="192"/>
      <c r="E53" s="76"/>
      <c r="F53" s="77">
        <v>300</v>
      </c>
      <c r="G53" s="176">
        <f t="shared" si="0"/>
        <v>1060.25</v>
      </c>
      <c r="H53" s="177"/>
      <c r="I53" s="178"/>
      <c r="J53" s="76"/>
      <c r="K53" s="77">
        <v>300</v>
      </c>
      <c r="L53" s="176">
        <f t="shared" si="1"/>
        <v>2120.5</v>
      </c>
      <c r="M53" s="177"/>
      <c r="N53" s="178"/>
      <c r="P53" s="77">
        <v>300</v>
      </c>
      <c r="Q53" s="217">
        <v>0</v>
      </c>
      <c r="R53" s="218"/>
      <c r="S53" s="219"/>
    </row>
    <row r="54" spans="1:19" x14ac:dyDescent="0.25">
      <c r="A54" s="77">
        <v>310</v>
      </c>
      <c r="B54" s="190">
        <v>215.61</v>
      </c>
      <c r="C54" s="191"/>
      <c r="D54" s="192"/>
      <c r="E54" s="76"/>
      <c r="F54" s="77">
        <v>310</v>
      </c>
      <c r="G54" s="176">
        <f t="shared" si="0"/>
        <v>1078.0500000000002</v>
      </c>
      <c r="H54" s="177"/>
      <c r="I54" s="178"/>
      <c r="J54" s="76"/>
      <c r="K54" s="77">
        <v>310</v>
      </c>
      <c r="L54" s="176">
        <f t="shared" si="1"/>
        <v>2156.1000000000004</v>
      </c>
      <c r="M54" s="177"/>
      <c r="N54" s="178"/>
      <c r="P54" s="77">
        <v>310</v>
      </c>
      <c r="Q54" s="217">
        <v>0</v>
      </c>
      <c r="R54" s="218"/>
      <c r="S54" s="219"/>
    </row>
    <row r="55" spans="1:19" ht="15.75" thickBot="1" x14ac:dyDescent="0.3">
      <c r="A55" s="78">
        <v>320</v>
      </c>
      <c r="B55" s="193">
        <v>219.15</v>
      </c>
      <c r="C55" s="194"/>
      <c r="D55" s="195"/>
      <c r="E55" s="76"/>
      <c r="F55" s="78">
        <v>320</v>
      </c>
      <c r="G55" s="173">
        <f t="shared" si="0"/>
        <v>1095.75</v>
      </c>
      <c r="H55" s="174"/>
      <c r="I55" s="175"/>
      <c r="J55" s="76"/>
      <c r="K55" s="78">
        <v>320</v>
      </c>
      <c r="L55" s="173">
        <f t="shared" si="1"/>
        <v>2191.5</v>
      </c>
      <c r="M55" s="174"/>
      <c r="N55" s="175"/>
      <c r="P55" s="78">
        <v>320</v>
      </c>
      <c r="Q55" s="220">
        <v>0</v>
      </c>
      <c r="R55" s="221"/>
      <c r="S55" s="222"/>
    </row>
    <row r="56" spans="1:19" x14ac:dyDescent="0.25">
      <c r="E56" s="76"/>
      <c r="F56" s="76"/>
      <c r="G56" s="76"/>
      <c r="H56" s="76"/>
      <c r="I56" s="76"/>
      <c r="J56" s="76"/>
      <c r="K56" s="76"/>
    </row>
  </sheetData>
  <sheetProtection algorithmName="SHA-512" hashValue="VV25biOqZws5yVGCmU4jLhqxq5NZ02g1Kbxd6hWJdSC0oaVTqM7Nh35UbwRwWdA/FQE1Qz1TwIV9ORwsTKaXqg==" saltValue="AdIV1juKUTuit0jG3OC8yQ==" spinCount="100000" sheet="1" objects="1" scenarios="1"/>
  <mergeCells count="224">
    <mergeCell ref="B50:D50"/>
    <mergeCell ref="B51:D51"/>
    <mergeCell ref="B52:D52"/>
    <mergeCell ref="B53:D53"/>
    <mergeCell ref="B54:D54"/>
    <mergeCell ref="B55:D55"/>
    <mergeCell ref="B41:D41"/>
    <mergeCell ref="B43:D43"/>
    <mergeCell ref="B42:D42"/>
    <mergeCell ref="B44:D44"/>
    <mergeCell ref="B45:D45"/>
    <mergeCell ref="B46:D46"/>
    <mergeCell ref="B47:D47"/>
    <mergeCell ref="B48:D48"/>
    <mergeCell ref="B49:D49"/>
    <mergeCell ref="B40:D40"/>
    <mergeCell ref="A1:A2"/>
    <mergeCell ref="B1:D1"/>
    <mergeCell ref="B2:D2"/>
    <mergeCell ref="B17:D17"/>
    <mergeCell ref="B18:D18"/>
    <mergeCell ref="B3:D3"/>
    <mergeCell ref="B4:D4"/>
    <mergeCell ref="B5:D5"/>
    <mergeCell ref="B6:D6"/>
    <mergeCell ref="B7:D7"/>
    <mergeCell ref="B8:D8"/>
    <mergeCell ref="B9:D9"/>
    <mergeCell ref="B39:D39"/>
    <mergeCell ref="B33:D33"/>
    <mergeCell ref="B34:D34"/>
    <mergeCell ref="B35:D35"/>
    <mergeCell ref="B36:D36"/>
    <mergeCell ref="B37:D37"/>
    <mergeCell ref="B25:D25"/>
    <mergeCell ref="B26:D26"/>
    <mergeCell ref="B27:D27"/>
    <mergeCell ref="B28:D28"/>
    <mergeCell ref="B29:D29"/>
    <mergeCell ref="F1:F2"/>
    <mergeCell ref="G1:I1"/>
    <mergeCell ref="G2:I2"/>
    <mergeCell ref="G3:I3"/>
    <mergeCell ref="G4:I4"/>
    <mergeCell ref="B30:D30"/>
    <mergeCell ref="B31:D31"/>
    <mergeCell ref="B32:D32"/>
    <mergeCell ref="B38:D38"/>
    <mergeCell ref="B20:D20"/>
    <mergeCell ref="B21:D21"/>
    <mergeCell ref="B22:D22"/>
    <mergeCell ref="B23:D23"/>
    <mergeCell ref="B24:D24"/>
    <mergeCell ref="B10:D10"/>
    <mergeCell ref="B11:D11"/>
    <mergeCell ref="B12:D12"/>
    <mergeCell ref="B13:D13"/>
    <mergeCell ref="B19:D19"/>
    <mergeCell ref="B14:D14"/>
    <mergeCell ref="B15:D15"/>
    <mergeCell ref="B16:D16"/>
    <mergeCell ref="G10:I10"/>
    <mergeCell ref="G11:I11"/>
    <mergeCell ref="G12:I12"/>
    <mergeCell ref="G13:I13"/>
    <mergeCell ref="G14:I14"/>
    <mergeCell ref="G5:I5"/>
    <mergeCell ref="G6:I6"/>
    <mergeCell ref="G7:I7"/>
    <mergeCell ref="G8:I8"/>
    <mergeCell ref="G9:I9"/>
    <mergeCell ref="G20:I20"/>
    <mergeCell ref="G21:I21"/>
    <mergeCell ref="G22:I22"/>
    <mergeCell ref="G23:I23"/>
    <mergeCell ref="G24:I24"/>
    <mergeCell ref="G15:I15"/>
    <mergeCell ref="G16:I16"/>
    <mergeCell ref="G17:I17"/>
    <mergeCell ref="G18:I18"/>
    <mergeCell ref="G19:I19"/>
    <mergeCell ref="G30:I30"/>
    <mergeCell ref="G31:I31"/>
    <mergeCell ref="G32:I32"/>
    <mergeCell ref="G33:I33"/>
    <mergeCell ref="G34:I34"/>
    <mergeCell ref="G25:I25"/>
    <mergeCell ref="G26:I26"/>
    <mergeCell ref="G27:I27"/>
    <mergeCell ref="G28:I28"/>
    <mergeCell ref="G29:I29"/>
    <mergeCell ref="G48:I48"/>
    <mergeCell ref="G49:I49"/>
    <mergeCell ref="G40:I40"/>
    <mergeCell ref="G41:I41"/>
    <mergeCell ref="G42:I42"/>
    <mergeCell ref="G43:I43"/>
    <mergeCell ref="G44:I44"/>
    <mergeCell ref="G35:I35"/>
    <mergeCell ref="G36:I36"/>
    <mergeCell ref="G37:I37"/>
    <mergeCell ref="G38:I38"/>
    <mergeCell ref="G39:I39"/>
    <mergeCell ref="G55:I55"/>
    <mergeCell ref="K1:K2"/>
    <mergeCell ref="L1:N1"/>
    <mergeCell ref="L2:N2"/>
    <mergeCell ref="L3:N3"/>
    <mergeCell ref="L4:N4"/>
    <mergeCell ref="L5:N5"/>
    <mergeCell ref="L6:N6"/>
    <mergeCell ref="L7:N7"/>
    <mergeCell ref="L8:N8"/>
    <mergeCell ref="L9:N9"/>
    <mergeCell ref="L10:N10"/>
    <mergeCell ref="L11:N11"/>
    <mergeCell ref="L12:N12"/>
    <mergeCell ref="L13:N13"/>
    <mergeCell ref="L14:N14"/>
    <mergeCell ref="G50:I50"/>
    <mergeCell ref="G51:I51"/>
    <mergeCell ref="G52:I52"/>
    <mergeCell ref="G53:I53"/>
    <mergeCell ref="G54:I54"/>
    <mergeCell ref="G45:I45"/>
    <mergeCell ref="G46:I46"/>
    <mergeCell ref="G47:I47"/>
    <mergeCell ref="L20:N20"/>
    <mergeCell ref="L21:N21"/>
    <mergeCell ref="L22:N22"/>
    <mergeCell ref="L23:N23"/>
    <mergeCell ref="L24:N24"/>
    <mergeCell ref="L15:N15"/>
    <mergeCell ref="L16:N16"/>
    <mergeCell ref="L17:N17"/>
    <mergeCell ref="L18:N18"/>
    <mergeCell ref="L19:N19"/>
    <mergeCell ref="L30:N30"/>
    <mergeCell ref="L31:N31"/>
    <mergeCell ref="L32:N32"/>
    <mergeCell ref="L33:N33"/>
    <mergeCell ref="L34:N34"/>
    <mergeCell ref="L25:N25"/>
    <mergeCell ref="L26:N26"/>
    <mergeCell ref="L27:N27"/>
    <mergeCell ref="L28:N28"/>
    <mergeCell ref="L29:N29"/>
    <mergeCell ref="L48:N48"/>
    <mergeCell ref="L49:N49"/>
    <mergeCell ref="L40:N40"/>
    <mergeCell ref="L41:N41"/>
    <mergeCell ref="L42:N42"/>
    <mergeCell ref="L43:N43"/>
    <mergeCell ref="L44:N44"/>
    <mergeCell ref="L35:N35"/>
    <mergeCell ref="L36:N36"/>
    <mergeCell ref="L37:N37"/>
    <mergeCell ref="L38:N38"/>
    <mergeCell ref="L39:N39"/>
    <mergeCell ref="L55:N55"/>
    <mergeCell ref="P1:P2"/>
    <mergeCell ref="Q1:S1"/>
    <mergeCell ref="Q2:S2"/>
    <mergeCell ref="Q3:S3"/>
    <mergeCell ref="Q4:S4"/>
    <mergeCell ref="Q5:S5"/>
    <mergeCell ref="Q6:S6"/>
    <mergeCell ref="Q7:S7"/>
    <mergeCell ref="Q8:S8"/>
    <mergeCell ref="Q9:S9"/>
    <mergeCell ref="Q10:S10"/>
    <mergeCell ref="Q11:S11"/>
    <mergeCell ref="Q12:S12"/>
    <mergeCell ref="Q13:S13"/>
    <mergeCell ref="Q14:S14"/>
    <mergeCell ref="L50:N50"/>
    <mergeCell ref="L51:N51"/>
    <mergeCell ref="L52:N52"/>
    <mergeCell ref="L53:N53"/>
    <mergeCell ref="L54:N54"/>
    <mergeCell ref="L45:N45"/>
    <mergeCell ref="L46:N46"/>
    <mergeCell ref="L47:N47"/>
    <mergeCell ref="Q20:S20"/>
    <mergeCell ref="Q21:S21"/>
    <mergeCell ref="Q22:S22"/>
    <mergeCell ref="Q23:S23"/>
    <mergeCell ref="Q24:S24"/>
    <mergeCell ref="Q15:S15"/>
    <mergeCell ref="Q16:S16"/>
    <mergeCell ref="Q17:S17"/>
    <mergeCell ref="Q18:S18"/>
    <mergeCell ref="Q19:S19"/>
    <mergeCell ref="Q30:S30"/>
    <mergeCell ref="Q31:S31"/>
    <mergeCell ref="Q32:S32"/>
    <mergeCell ref="Q33:S33"/>
    <mergeCell ref="Q34:S34"/>
    <mergeCell ref="Q25:S25"/>
    <mergeCell ref="Q26:S26"/>
    <mergeCell ref="Q27:S27"/>
    <mergeCell ref="Q28:S28"/>
    <mergeCell ref="Q29:S29"/>
    <mergeCell ref="Q40:S40"/>
    <mergeCell ref="Q41:S41"/>
    <mergeCell ref="Q42:S42"/>
    <mergeCell ref="Q43:S43"/>
    <mergeCell ref="Q44:S44"/>
    <mergeCell ref="Q35:S35"/>
    <mergeCell ref="Q36:S36"/>
    <mergeCell ref="Q37:S37"/>
    <mergeCell ref="Q38:S38"/>
    <mergeCell ref="Q39:S39"/>
    <mergeCell ref="Q55:S55"/>
    <mergeCell ref="Q50:S50"/>
    <mergeCell ref="Q51:S51"/>
    <mergeCell ref="Q52:S52"/>
    <mergeCell ref="Q53:S53"/>
    <mergeCell ref="Q54:S54"/>
    <mergeCell ref="Q45:S45"/>
    <mergeCell ref="Q46:S46"/>
    <mergeCell ref="Q47:S47"/>
    <mergeCell ref="Q48:S48"/>
    <mergeCell ref="Q49:S4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7BE2E-C5CC-435E-B040-5E948CD04E8B}">
  <dimension ref="A1:P64"/>
  <sheetViews>
    <sheetView workbookViewId="0">
      <selection activeCell="L74" sqref="L74"/>
    </sheetView>
  </sheetViews>
  <sheetFormatPr defaultRowHeight="15" x14ac:dyDescent="0.25"/>
  <cols>
    <col min="3" max="3" width="10.5703125" customWidth="1"/>
    <col min="4" max="4" width="10.5703125" bestFit="1" customWidth="1"/>
    <col min="5" max="5" width="12.5703125" bestFit="1" customWidth="1"/>
    <col min="6" max="6" width="14.42578125" customWidth="1"/>
    <col min="7" max="7" width="13.7109375" customWidth="1"/>
    <col min="12" max="12" width="18.7109375" customWidth="1"/>
    <col min="13" max="13" width="18.140625" customWidth="1"/>
    <col min="14" max="14" width="18.42578125" customWidth="1"/>
    <col min="15" max="15" width="18.28515625" customWidth="1"/>
  </cols>
  <sheetData>
    <row r="1" spans="1:15" ht="15.75" thickBot="1" x14ac:dyDescent="0.3">
      <c r="A1" s="181" t="s">
        <v>6</v>
      </c>
      <c r="B1" s="182"/>
      <c r="C1" s="182"/>
      <c r="D1" s="182"/>
      <c r="E1" s="182"/>
      <c r="F1" s="182"/>
      <c r="G1" s="182"/>
      <c r="H1" s="182"/>
      <c r="I1" s="182"/>
      <c r="J1" s="182"/>
      <c r="K1" s="183"/>
      <c r="L1" s="181" t="s">
        <v>55</v>
      </c>
      <c r="M1" s="182"/>
      <c r="N1" s="183"/>
    </row>
    <row r="2" spans="1:15" ht="18" x14ac:dyDescent="0.35">
      <c r="A2" s="23" t="s">
        <v>31</v>
      </c>
      <c r="F2" s="198" t="s">
        <v>16</v>
      </c>
      <c r="G2" s="1" t="s">
        <v>9</v>
      </c>
      <c r="J2">
        <f>0.0005*100</f>
        <v>0.05</v>
      </c>
      <c r="K2" s="24" t="s">
        <v>2</v>
      </c>
      <c r="L2" s="33" t="s">
        <v>56</v>
      </c>
      <c r="M2" s="34">
        <f>E32</f>
        <v>49.504950495049506</v>
      </c>
      <c r="N2" s="35" t="s">
        <v>20</v>
      </c>
    </row>
    <row r="3" spans="1:15" ht="18" x14ac:dyDescent="0.35">
      <c r="A3" s="25"/>
      <c r="B3" s="1" t="s">
        <v>32</v>
      </c>
      <c r="F3" s="199"/>
      <c r="G3" s="1" t="s">
        <v>10</v>
      </c>
      <c r="J3">
        <f>$D$4-$J$2</f>
        <v>4.95</v>
      </c>
      <c r="K3" s="24" t="s">
        <v>2</v>
      </c>
      <c r="L3" s="33" t="s">
        <v>27</v>
      </c>
      <c r="M3" s="34">
        <f>$E$34</f>
        <v>53.32026090767615</v>
      </c>
      <c r="N3" s="35" t="s">
        <v>20</v>
      </c>
    </row>
    <row r="4" spans="1:15" ht="18" x14ac:dyDescent="0.35">
      <c r="A4" s="25"/>
      <c r="B4" s="1"/>
      <c r="C4" s="1" t="s">
        <v>3</v>
      </c>
      <c r="D4">
        <f>'RTD Data'!$E$3</f>
        <v>5</v>
      </c>
      <c r="E4" s="20" t="s">
        <v>2</v>
      </c>
      <c r="F4" s="199"/>
      <c r="G4" s="21" t="s">
        <v>11</v>
      </c>
      <c r="K4" s="26"/>
      <c r="L4" s="33" t="s">
        <v>26</v>
      </c>
      <c r="M4" s="34">
        <f>$J$34</f>
        <v>0.19012932241729957</v>
      </c>
      <c r="N4" s="35" t="s">
        <v>23</v>
      </c>
    </row>
    <row r="5" spans="1:15" ht="18" x14ac:dyDescent="0.35">
      <c r="A5" s="25"/>
      <c r="C5" t="s">
        <v>7</v>
      </c>
      <c r="D5" s="22">
        <f>'RTD Data'!$F$8</f>
        <v>5000</v>
      </c>
      <c r="E5" s="20" t="s">
        <v>0</v>
      </c>
      <c r="F5" s="199"/>
      <c r="G5" s="1"/>
      <c r="H5" s="201" t="s">
        <v>12</v>
      </c>
      <c r="I5" s="201"/>
      <c r="J5">
        <f>$J$3/2</f>
        <v>2.4750000000000001</v>
      </c>
      <c r="K5" s="24" t="s">
        <v>2</v>
      </c>
      <c r="L5" s="33" t="s">
        <v>42</v>
      </c>
      <c r="M5" s="36">
        <f>'RTD Data'!S4</f>
        <v>200</v>
      </c>
      <c r="N5" s="37" t="s">
        <v>21</v>
      </c>
    </row>
    <row r="6" spans="1:15" ht="18" x14ac:dyDescent="0.35">
      <c r="A6" s="25"/>
      <c r="C6" t="s">
        <v>8</v>
      </c>
      <c r="D6" s="22">
        <f>'RTD Data'!$F$7</f>
        <v>5000</v>
      </c>
      <c r="E6" s="20" t="s">
        <v>0</v>
      </c>
      <c r="F6" s="199"/>
      <c r="H6" s="202" t="s">
        <v>13</v>
      </c>
      <c r="I6" s="202"/>
      <c r="J6" s="22">
        <f>J5/0.0005</f>
        <v>4950</v>
      </c>
      <c r="K6" s="24" t="s">
        <v>0</v>
      </c>
      <c r="L6" s="33" t="s">
        <v>46</v>
      </c>
      <c r="M6" s="34">
        <f>VLOOKUP(M5,'PT100 Tables'!12:64,5)</f>
        <v>86.41038693535485</v>
      </c>
      <c r="N6" s="35" t="s">
        <v>20</v>
      </c>
    </row>
    <row r="7" spans="1:15" ht="18" x14ac:dyDescent="0.35">
      <c r="A7" s="23" t="s">
        <v>39</v>
      </c>
      <c r="D7" s="22"/>
      <c r="E7" s="20"/>
      <c r="F7" s="199"/>
      <c r="H7" s="202" t="s">
        <v>14</v>
      </c>
      <c r="I7" s="202"/>
      <c r="J7" s="22">
        <f>J6</f>
        <v>4950</v>
      </c>
      <c r="K7" s="24" t="s">
        <v>0</v>
      </c>
      <c r="L7" s="18" t="s">
        <v>43</v>
      </c>
      <c r="M7" s="34">
        <f>VLOOKUP(M5,12:64,10)</f>
        <v>0.17769552332678415</v>
      </c>
      <c r="N7" s="35" t="s">
        <v>23</v>
      </c>
    </row>
    <row r="8" spans="1:15" ht="18.75" thickBot="1" x14ac:dyDescent="0.4">
      <c r="A8" s="27" t="s">
        <v>34</v>
      </c>
      <c r="B8" s="28"/>
      <c r="C8" s="29"/>
      <c r="D8" s="30"/>
      <c r="E8" s="31"/>
      <c r="F8" s="200"/>
      <c r="G8" s="29"/>
      <c r="H8" s="29"/>
      <c r="I8" s="29"/>
      <c r="J8" s="29"/>
      <c r="K8" s="32"/>
      <c r="L8" s="38"/>
      <c r="M8" s="29"/>
      <c r="N8" s="32"/>
    </row>
    <row r="9" spans="1:15" ht="15.75" thickBot="1" x14ac:dyDescent="0.3"/>
    <row r="10" spans="1:15" ht="15" customHeight="1" x14ac:dyDescent="0.25">
      <c r="A10" s="179" t="s">
        <v>1</v>
      </c>
      <c r="B10" s="179" t="s">
        <v>28</v>
      </c>
      <c r="C10" s="196" t="s">
        <v>29</v>
      </c>
      <c r="D10" s="196" t="s">
        <v>30</v>
      </c>
      <c r="E10" s="196" t="s">
        <v>24</v>
      </c>
      <c r="F10" s="196" t="s">
        <v>37</v>
      </c>
      <c r="G10" s="196" t="s">
        <v>38</v>
      </c>
      <c r="H10" s="205" t="s">
        <v>33</v>
      </c>
      <c r="I10" s="206"/>
      <c r="J10" s="205" t="s">
        <v>35</v>
      </c>
      <c r="K10" s="206"/>
      <c r="L10" s="205" t="s">
        <v>48</v>
      </c>
      <c r="M10" s="196" t="s">
        <v>40</v>
      </c>
      <c r="N10" s="19"/>
      <c r="O10" s="196" t="s">
        <v>49</v>
      </c>
    </row>
    <row r="11" spans="1:15" ht="18.75" thickBot="1" x14ac:dyDescent="0.4">
      <c r="A11" s="203"/>
      <c r="B11" s="180"/>
      <c r="C11" s="197"/>
      <c r="D11" s="197"/>
      <c r="E11" s="197"/>
      <c r="F11" s="197"/>
      <c r="G11" s="197"/>
      <c r="H11" s="207"/>
      <c r="I11" s="208"/>
      <c r="J11" s="207"/>
      <c r="K11" s="208"/>
      <c r="L11" s="207"/>
      <c r="M11" s="197"/>
      <c r="N11" s="16" t="s">
        <v>41</v>
      </c>
      <c r="O11" s="197"/>
    </row>
    <row r="12" spans="1:15" x14ac:dyDescent="0.25">
      <c r="A12" s="4">
        <v>-200</v>
      </c>
      <c r="B12" s="17">
        <f>'RTD Resistance @ Temperature'!B3</f>
        <v>18.52</v>
      </c>
      <c r="C12" s="9">
        <f>$D$4 / ($D$5 + $D$6 + B12)</f>
        <v>4.9907571178178008E-4</v>
      </c>
      <c r="D12" s="9">
        <f>C12*1000</f>
        <v>0.49907571178178006</v>
      </c>
      <c r="E12" s="9">
        <f>B12*D12</f>
        <v>9.2428821821985672</v>
      </c>
      <c r="F12" s="9">
        <f>E13-E12</f>
        <v>2.1461167332774007</v>
      </c>
      <c r="G12" s="9">
        <f>E12-$E$34</f>
        <v>-44.077378725477587</v>
      </c>
      <c r="H12" s="209">
        <f>F12/(A13-A12)</f>
        <v>0.21461167332774006</v>
      </c>
      <c r="I12" s="209"/>
      <c r="J12" s="209">
        <f>(E13-E12)/(A13-A12)</f>
        <v>0.21461167332774006</v>
      </c>
      <c r="K12" s="209"/>
      <c r="L12" s="40">
        <f>($E12-$M$2)/$M$4</f>
        <v>-211.76148844880942</v>
      </c>
      <c r="M12" s="8">
        <f>(L12-$A12)/$A12 * 100</f>
        <v>5.8807442244047081</v>
      </c>
      <c r="N12" s="40">
        <f>($E12-$M$2)/$M$7</f>
        <v>-226.57896810832159</v>
      </c>
      <c r="O12" s="41">
        <f>(N12-$A12)/$A12 * 100</f>
        <v>13.289484054160795</v>
      </c>
    </row>
    <row r="13" spans="1:15" x14ac:dyDescent="0.25">
      <c r="A13" s="2">
        <v>-190</v>
      </c>
      <c r="B13" s="14">
        <f>'RTD Resistance @ Temperature'!B4</f>
        <v>22.83</v>
      </c>
      <c r="C13" s="10">
        <f t="shared" ref="C13:C64" si="0">$D$4 / ($D$5 + $D$6 + B13)</f>
        <v>4.9886110010845242E-4</v>
      </c>
      <c r="D13" s="10">
        <f t="shared" ref="D13:D64" si="1">C13*1000</f>
        <v>0.49886110010845242</v>
      </c>
      <c r="E13" s="10">
        <f t="shared" ref="E13:E64" si="2">B13*D13</f>
        <v>11.388998915475968</v>
      </c>
      <c r="F13" s="10">
        <f t="shared" ref="F13:F63" si="3">E13-E12</f>
        <v>2.1461167332774007</v>
      </c>
      <c r="G13" s="10">
        <f t="shared" ref="G13:G64" si="4">E13-$E$34</f>
        <v>-41.931261992200184</v>
      </c>
      <c r="H13" s="204">
        <f>F13/(A13-A12)</f>
        <v>0.21461167332774006</v>
      </c>
      <c r="I13" s="204"/>
      <c r="J13" s="204">
        <f>(E14-E12)/(A14-A12)</f>
        <v>0.21352482807031317</v>
      </c>
      <c r="K13" s="204"/>
      <c r="L13" s="39">
        <f t="shared" ref="L13:L64" si="5">($E13-$M$2)/$M$4</f>
        <v>-200.47382010816776</v>
      </c>
      <c r="M13" s="6">
        <f t="shared" ref="M13:M64" si="6">(L13-$A13)/$A13 * 100</f>
        <v>5.5125368990356618</v>
      </c>
      <c r="N13" s="39">
        <f t="shared" ref="N13:N64" si="7">($E13-$M$2)/$M$7</f>
        <v>-214.50147345286723</v>
      </c>
      <c r="O13" s="42">
        <f t="shared" ref="O13:O64" si="8">(N13-$A13)/$A13 * 100</f>
        <v>12.895512343614332</v>
      </c>
    </row>
    <row r="14" spans="1:15" x14ac:dyDescent="0.25">
      <c r="A14" s="2">
        <v>-180</v>
      </c>
      <c r="B14" s="14">
        <f>'RTD Resistance @ Temperature'!B5</f>
        <v>27.1</v>
      </c>
      <c r="C14" s="10">
        <f t="shared" si="0"/>
        <v>4.9864866212563945E-4</v>
      </c>
      <c r="D14" s="10">
        <f t="shared" si="1"/>
        <v>0.49864866212563946</v>
      </c>
      <c r="E14" s="10">
        <f t="shared" si="2"/>
        <v>13.51337874360483</v>
      </c>
      <c r="F14" s="10">
        <f t="shared" si="3"/>
        <v>2.1243798281288626</v>
      </c>
      <c r="G14" s="10">
        <f t="shared" si="4"/>
        <v>-39.806882164071318</v>
      </c>
      <c r="H14" s="204">
        <f t="shared" ref="H14:H63" si="9">F14/(A14-A13)</f>
        <v>0.21243798281288626</v>
      </c>
      <c r="I14" s="204"/>
      <c r="J14" s="204">
        <f t="shared" ref="J14:J63" si="10">(E15-E13)/(A15-A13)</f>
        <v>0.21160223668637146</v>
      </c>
      <c r="K14" s="204"/>
      <c r="L14" s="39">
        <f t="shared" si="5"/>
        <v>-189.30047871548012</v>
      </c>
      <c r="M14" s="6">
        <f t="shared" si="6"/>
        <v>5.1669326197111811</v>
      </c>
      <c r="N14" s="39">
        <f t="shared" si="7"/>
        <v>-202.5463054871436</v>
      </c>
      <c r="O14" s="42">
        <f t="shared" si="8"/>
        <v>12.525725270635332</v>
      </c>
    </row>
    <row r="15" spans="1:15" x14ac:dyDescent="0.25">
      <c r="A15" s="2">
        <v>-170</v>
      </c>
      <c r="B15" s="14">
        <f>'RTD Resistance @ Temperature'!B6</f>
        <v>31.34</v>
      </c>
      <c r="C15" s="10">
        <f t="shared" si="0"/>
        <v>4.9843789563507968E-4</v>
      </c>
      <c r="D15" s="10">
        <f t="shared" si="1"/>
        <v>0.49843789563507968</v>
      </c>
      <c r="E15" s="10">
        <f t="shared" si="2"/>
        <v>15.621043649203397</v>
      </c>
      <c r="F15" s="10">
        <f t="shared" si="3"/>
        <v>2.1076649055985666</v>
      </c>
      <c r="G15" s="10">
        <f t="shared" si="4"/>
        <v>-37.699217258472757</v>
      </c>
      <c r="H15" s="204">
        <f t="shared" si="9"/>
        <v>0.21076649055985666</v>
      </c>
      <c r="I15" s="204"/>
      <c r="J15" s="204">
        <f t="shared" si="10"/>
        <v>0.2096845166448639</v>
      </c>
      <c r="K15" s="204"/>
      <c r="L15" s="39">
        <f t="shared" si="5"/>
        <v>-178.21505076148668</v>
      </c>
      <c r="M15" s="6">
        <f t="shared" si="6"/>
        <v>4.8323828008745178</v>
      </c>
      <c r="N15" s="39">
        <f t="shared" si="7"/>
        <v>-190.6852024827503</v>
      </c>
      <c r="O15" s="42">
        <f t="shared" si="8"/>
        <v>12.167766166323705</v>
      </c>
    </row>
    <row r="16" spans="1:15" x14ac:dyDescent="0.25">
      <c r="A16" s="2">
        <v>-160</v>
      </c>
      <c r="B16" s="14">
        <f>'RTD Resistance @ Temperature'!B7</f>
        <v>35.54</v>
      </c>
      <c r="C16" s="10">
        <f t="shared" si="0"/>
        <v>4.9822929309234975E-4</v>
      </c>
      <c r="D16" s="10">
        <f t="shared" si="1"/>
        <v>0.49822929309234976</v>
      </c>
      <c r="E16" s="10">
        <f t="shared" si="2"/>
        <v>17.707069076502108</v>
      </c>
      <c r="F16" s="10">
        <f t="shared" si="3"/>
        <v>2.0860254272987113</v>
      </c>
      <c r="G16" s="10">
        <f t="shared" si="4"/>
        <v>-35.613191831174042</v>
      </c>
      <c r="H16" s="204">
        <f t="shared" si="9"/>
        <v>0.20860254272987114</v>
      </c>
      <c r="I16" s="204"/>
      <c r="J16" s="204">
        <f t="shared" si="10"/>
        <v>0.20801922590580055</v>
      </c>
      <c r="K16" s="204"/>
      <c r="L16" s="39">
        <f t="shared" si="5"/>
        <v>-167.24343733133799</v>
      </c>
      <c r="M16" s="6">
        <f t="shared" si="6"/>
        <v>4.5271483320862416</v>
      </c>
      <c r="N16" s="39">
        <f t="shared" si="7"/>
        <v>-178.94587788838507</v>
      </c>
      <c r="O16" s="42">
        <f t="shared" si="8"/>
        <v>11.841173680240669</v>
      </c>
    </row>
    <row r="17" spans="1:16" x14ac:dyDescent="0.25">
      <c r="A17" s="2">
        <v>-150</v>
      </c>
      <c r="B17" s="14">
        <f>'RTD Resistance @ Temperature'!B8</f>
        <v>39.72</v>
      </c>
      <c r="C17" s="10">
        <f t="shared" si="0"/>
        <v>4.9802185718326813E-4</v>
      </c>
      <c r="D17" s="10">
        <f t="shared" si="1"/>
        <v>0.49802185718326814</v>
      </c>
      <c r="E17" s="10">
        <f t="shared" si="2"/>
        <v>19.781428167319408</v>
      </c>
      <c r="F17" s="10">
        <f t="shared" si="3"/>
        <v>2.0743590908172997</v>
      </c>
      <c r="G17" s="10">
        <f t="shared" si="4"/>
        <v>-33.538832740356739</v>
      </c>
      <c r="H17" s="204">
        <f t="shared" si="9"/>
        <v>0.20743590908172999</v>
      </c>
      <c r="I17" s="204"/>
      <c r="J17" s="204">
        <f t="shared" si="10"/>
        <v>0.20685394013021874</v>
      </c>
      <c r="K17" s="204"/>
      <c r="L17" s="39">
        <f t="shared" si="5"/>
        <v>-156.33318390780528</v>
      </c>
      <c r="M17" s="6">
        <f t="shared" si="6"/>
        <v>4.222122605203519</v>
      </c>
      <c r="N17" s="39">
        <f t="shared" si="7"/>
        <v>-167.27220681338264</v>
      </c>
      <c r="O17" s="42">
        <f t="shared" si="8"/>
        <v>11.514804542255092</v>
      </c>
    </row>
    <row r="18" spans="1:16" x14ac:dyDescent="0.25">
      <c r="A18" s="2">
        <v>-140</v>
      </c>
      <c r="B18" s="14">
        <f>'RTD Resistance @ Temperature'!B9</f>
        <v>43.88</v>
      </c>
      <c r="C18" s="10">
        <f t="shared" si="0"/>
        <v>4.9781558521208938E-4</v>
      </c>
      <c r="D18" s="10">
        <f t="shared" si="1"/>
        <v>0.49781558521208935</v>
      </c>
      <c r="E18" s="10">
        <f t="shared" si="2"/>
        <v>21.844147879106483</v>
      </c>
      <c r="F18" s="10">
        <f t="shared" si="3"/>
        <v>2.062719711787075</v>
      </c>
      <c r="G18" s="10">
        <f t="shared" si="4"/>
        <v>-31.476113028569667</v>
      </c>
      <c r="H18" s="204">
        <f t="shared" si="9"/>
        <v>0.20627197117870749</v>
      </c>
      <c r="I18" s="204"/>
      <c r="J18" s="204">
        <f t="shared" si="10"/>
        <v>0.20519610755759637</v>
      </c>
      <c r="K18" s="204"/>
      <c r="L18" s="39">
        <f t="shared" si="5"/>
        <v>-145.48414870607149</v>
      </c>
      <c r="M18" s="6">
        <f t="shared" si="6"/>
        <v>3.9172490757653526</v>
      </c>
      <c r="N18" s="39">
        <f t="shared" si="7"/>
        <v>-155.66403755188858</v>
      </c>
      <c r="O18" s="42">
        <f t="shared" si="8"/>
        <v>11.188598251348989</v>
      </c>
    </row>
    <row r="19" spans="1:16" x14ac:dyDescent="0.25">
      <c r="A19" s="2">
        <v>-130</v>
      </c>
      <c r="B19" s="14">
        <f>'RTD Resistance @ Temperature'!B10</f>
        <v>48</v>
      </c>
      <c r="C19" s="10">
        <f t="shared" si="0"/>
        <v>4.9761146496815286E-4</v>
      </c>
      <c r="D19" s="10">
        <f t="shared" si="1"/>
        <v>0.49761146496815284</v>
      </c>
      <c r="E19" s="10">
        <f t="shared" si="2"/>
        <v>23.885350318471335</v>
      </c>
      <c r="F19" s="10">
        <f t="shared" si="3"/>
        <v>2.0412024393648522</v>
      </c>
      <c r="G19" s="10">
        <f t="shared" si="4"/>
        <v>-29.434910589204815</v>
      </c>
      <c r="H19" s="204">
        <f t="shared" si="9"/>
        <v>0.20412024393648523</v>
      </c>
      <c r="I19" s="204"/>
      <c r="J19" s="204">
        <f t="shared" si="10"/>
        <v>0.20378916796053215</v>
      </c>
      <c r="K19" s="204"/>
      <c r="L19" s="39">
        <f t="shared" si="5"/>
        <v>-134.74828527683789</v>
      </c>
      <c r="M19" s="6">
        <f t="shared" si="6"/>
        <v>3.6525271360291467</v>
      </c>
      <c r="N19" s="39">
        <f t="shared" si="7"/>
        <v>-144.17695897416294</v>
      </c>
      <c r="O19" s="42">
        <f t="shared" si="8"/>
        <v>10.905353057048419</v>
      </c>
    </row>
    <row r="20" spans="1:16" x14ac:dyDescent="0.25">
      <c r="A20" s="2">
        <v>-120</v>
      </c>
      <c r="B20" s="14">
        <f>'RTD Resistance @ Temperature'!B11</f>
        <v>52.11</v>
      </c>
      <c r="C20" s="10">
        <f t="shared" si="0"/>
        <v>4.9740800687616822E-4</v>
      </c>
      <c r="D20" s="10">
        <f t="shared" si="1"/>
        <v>0.49740800687616821</v>
      </c>
      <c r="E20" s="10">
        <f t="shared" si="2"/>
        <v>25.919931238317126</v>
      </c>
      <c r="F20" s="10">
        <f t="shared" si="3"/>
        <v>2.0345809198457907</v>
      </c>
      <c r="G20" s="10">
        <f t="shared" si="4"/>
        <v>-27.400329669359024</v>
      </c>
      <c r="H20" s="204">
        <f t="shared" si="9"/>
        <v>0.20345809198457906</v>
      </c>
      <c r="I20" s="204"/>
      <c r="J20" s="204">
        <f t="shared" si="10"/>
        <v>0.20263329840074479</v>
      </c>
      <c r="K20" s="204"/>
      <c r="L20" s="39">
        <f t="shared" si="5"/>
        <v>-124.04724824594661</v>
      </c>
      <c r="M20" s="6">
        <f t="shared" si="6"/>
        <v>3.3727068716221704</v>
      </c>
      <c r="N20" s="39">
        <f t="shared" si="7"/>
        <v>-132.72714368475818</v>
      </c>
      <c r="O20" s="42">
        <f t="shared" si="8"/>
        <v>10.605953070631813</v>
      </c>
    </row>
    <row r="21" spans="1:16" x14ac:dyDescent="0.25">
      <c r="A21" s="2">
        <v>-110</v>
      </c>
      <c r="B21" s="14">
        <f>'RTD Resistance @ Temperature'!B12</f>
        <v>56.19</v>
      </c>
      <c r="C21" s="10">
        <f t="shared" si="0"/>
        <v>4.9720619837135139E-4</v>
      </c>
      <c r="D21" s="10">
        <f t="shared" si="1"/>
        <v>0.49720619837135138</v>
      </c>
      <c r="E21" s="10">
        <f t="shared" si="2"/>
        <v>27.938016286486231</v>
      </c>
      <c r="F21" s="10">
        <f t="shared" si="3"/>
        <v>2.0180850481691053</v>
      </c>
      <c r="G21" s="10">
        <f t="shared" si="4"/>
        <v>-25.382244621189919</v>
      </c>
      <c r="H21" s="204">
        <f t="shared" si="9"/>
        <v>0.20180850481691054</v>
      </c>
      <c r="I21" s="204"/>
      <c r="J21" s="204">
        <f t="shared" si="10"/>
        <v>0.20147964645251565</v>
      </c>
      <c r="K21" s="204"/>
      <c r="L21" s="39">
        <f t="shared" si="5"/>
        <v>-113.4329725387005</v>
      </c>
      <c r="M21" s="6">
        <f t="shared" si="6"/>
        <v>3.1208841260913607</v>
      </c>
      <c r="N21" s="39">
        <f t="shared" si="7"/>
        <v>-121.3701606252704</v>
      </c>
      <c r="O21" s="42">
        <f t="shared" si="8"/>
        <v>10.336509659336727</v>
      </c>
    </row>
    <row r="22" spans="1:16" x14ac:dyDescent="0.25">
      <c r="A22" s="2">
        <v>-100</v>
      </c>
      <c r="B22" s="14">
        <f>'RTD Resistance @ Temperature'!B13</f>
        <v>60.26</v>
      </c>
      <c r="C22" s="10">
        <f t="shared" si="0"/>
        <v>4.9700504758326319E-4</v>
      </c>
      <c r="D22" s="10">
        <f t="shared" si="1"/>
        <v>0.49700504758326319</v>
      </c>
      <c r="E22" s="10">
        <f t="shared" si="2"/>
        <v>29.949524167367439</v>
      </c>
      <c r="F22" s="10">
        <f t="shared" si="3"/>
        <v>2.0115078808812079</v>
      </c>
      <c r="G22" s="10">
        <f t="shared" si="4"/>
        <v>-23.370736740308711</v>
      </c>
      <c r="H22" s="204">
        <f t="shared" si="9"/>
        <v>0.20115078808812079</v>
      </c>
      <c r="I22" s="204"/>
      <c r="J22" s="204">
        <f t="shared" si="10"/>
        <v>0.20032899798255527</v>
      </c>
      <c r="K22" s="204"/>
      <c r="L22" s="39">
        <f t="shared" si="5"/>
        <v>-102.85328995577774</v>
      </c>
      <c r="M22" s="6">
        <f t="shared" si="6"/>
        <v>2.8532899557777398</v>
      </c>
      <c r="N22" s="39">
        <f t="shared" si="7"/>
        <v>-110.05019125731945</v>
      </c>
      <c r="O22" s="42">
        <f t="shared" si="8"/>
        <v>10.050191257319455</v>
      </c>
    </row>
    <row r="23" spans="1:16" x14ac:dyDescent="0.25">
      <c r="A23" s="2">
        <v>-90</v>
      </c>
      <c r="B23" s="14">
        <f>'RTD Resistance @ Temperature'!B14</f>
        <v>64.3</v>
      </c>
      <c r="C23" s="10">
        <f t="shared" si="0"/>
        <v>4.9680554037538627E-4</v>
      </c>
      <c r="D23" s="10">
        <f t="shared" si="1"/>
        <v>0.49680554037538627</v>
      </c>
      <c r="E23" s="10">
        <f t="shared" si="2"/>
        <v>31.944596246137337</v>
      </c>
      <c r="F23" s="10">
        <f t="shared" si="3"/>
        <v>1.9950720787698977</v>
      </c>
      <c r="G23" s="10">
        <f t="shared" si="4"/>
        <v>-21.375664661538814</v>
      </c>
      <c r="H23" s="204">
        <f t="shared" si="9"/>
        <v>0.19950720787698978</v>
      </c>
      <c r="I23" s="204"/>
      <c r="J23" s="204">
        <f t="shared" si="10"/>
        <v>0.19918053609669836</v>
      </c>
      <c r="K23" s="204"/>
      <c r="L23" s="39">
        <f t="shared" si="5"/>
        <v>-92.360052755936081</v>
      </c>
      <c r="M23" s="6">
        <f t="shared" si="6"/>
        <v>2.6222808399289792</v>
      </c>
      <c r="N23" s="39">
        <f t="shared" si="7"/>
        <v>-98.82271607157189</v>
      </c>
      <c r="O23" s="42">
        <f t="shared" si="8"/>
        <v>9.8030178573021001</v>
      </c>
    </row>
    <row r="24" spans="1:16" x14ac:dyDescent="0.25">
      <c r="A24" s="2">
        <v>-80</v>
      </c>
      <c r="B24" s="14">
        <f>'RTD Resistance @ Temperature'!B15</f>
        <v>68.33</v>
      </c>
      <c r="C24" s="10">
        <f t="shared" si="0"/>
        <v>4.9660668651106991E-4</v>
      </c>
      <c r="D24" s="10">
        <f t="shared" si="1"/>
        <v>0.49660668651106993</v>
      </c>
      <c r="E24" s="10">
        <f t="shared" si="2"/>
        <v>33.933134889301407</v>
      </c>
      <c r="F24" s="10">
        <f t="shared" si="3"/>
        <v>1.9885386431640697</v>
      </c>
      <c r="G24" s="10">
        <f t="shared" si="4"/>
        <v>-19.387126018374744</v>
      </c>
      <c r="H24" s="204">
        <f t="shared" si="9"/>
        <v>0.19885386431640698</v>
      </c>
      <c r="I24" s="204"/>
      <c r="J24" s="204">
        <f t="shared" si="10"/>
        <v>0.19803503703782327</v>
      </c>
      <c r="K24" s="204"/>
      <c r="L24" s="39">
        <f t="shared" si="5"/>
        <v>-81.901178670225164</v>
      </c>
      <c r="M24" s="6">
        <f t="shared" si="6"/>
        <v>2.3764733377814551</v>
      </c>
      <c r="N24" s="39">
        <f t="shared" si="7"/>
        <v>-87.63200847278155</v>
      </c>
      <c r="O24" s="42">
        <f t="shared" si="8"/>
        <v>9.5400105909769373</v>
      </c>
    </row>
    <row r="25" spans="1:16" x14ac:dyDescent="0.25">
      <c r="A25" s="2">
        <v>-70</v>
      </c>
      <c r="B25" s="14">
        <f>'RTD Resistance @ Temperature'!B16</f>
        <v>72.33</v>
      </c>
      <c r="C25" s="10">
        <f t="shared" si="0"/>
        <v>4.9640947030131066E-4</v>
      </c>
      <c r="D25" s="10">
        <f t="shared" si="1"/>
        <v>0.49640947030131066</v>
      </c>
      <c r="E25" s="10">
        <f t="shared" si="2"/>
        <v>35.905296986893802</v>
      </c>
      <c r="F25" s="10">
        <f t="shared" si="3"/>
        <v>1.9721620975923955</v>
      </c>
      <c r="G25" s="10">
        <f t="shared" si="4"/>
        <v>-17.414963920782348</v>
      </c>
      <c r="H25" s="204">
        <f t="shared" si="9"/>
        <v>0.19721620975923954</v>
      </c>
      <c r="I25" s="204"/>
      <c r="J25" s="204">
        <f t="shared" si="10"/>
        <v>0.19713792085454535</v>
      </c>
      <c r="K25" s="204"/>
      <c r="L25" s="39">
        <f t="shared" si="5"/>
        <v>-71.528438303203529</v>
      </c>
      <c r="M25" s="6">
        <f t="shared" si="6"/>
        <v>2.1834832902907562</v>
      </c>
      <c r="N25" s="39">
        <f t="shared" si="7"/>
        <v>-76.533461583867719</v>
      </c>
      <c r="O25" s="42">
        <f t="shared" si="8"/>
        <v>9.3335165483824554</v>
      </c>
    </row>
    <row r="26" spans="1:16" x14ac:dyDescent="0.25">
      <c r="A26" s="2">
        <v>-60</v>
      </c>
      <c r="B26" s="14">
        <f>'RTD Resistance @ Temperature'!B17</f>
        <v>76.33</v>
      </c>
      <c r="C26" s="10">
        <f t="shared" si="0"/>
        <v>4.9621241066936082E-4</v>
      </c>
      <c r="D26" s="10">
        <f t="shared" si="1"/>
        <v>0.49621241066936084</v>
      </c>
      <c r="E26" s="10">
        <f t="shared" si="2"/>
        <v>37.875893306392314</v>
      </c>
      <c r="F26" s="10">
        <f t="shared" si="3"/>
        <v>1.9705963194985117</v>
      </c>
      <c r="G26" s="10">
        <f t="shared" si="4"/>
        <v>-15.444367601283837</v>
      </c>
      <c r="H26" s="204">
        <f t="shared" si="9"/>
        <v>0.19705963194985116</v>
      </c>
      <c r="I26" s="204"/>
      <c r="J26" s="204">
        <f t="shared" si="10"/>
        <v>0.19648937249967807</v>
      </c>
      <c r="K26" s="204"/>
      <c r="L26" s="39">
        <f t="shared" si="5"/>
        <v>-61.163933268186319</v>
      </c>
      <c r="M26" s="6">
        <f t="shared" si="6"/>
        <v>1.9398887803105325</v>
      </c>
      <c r="N26" s="39">
        <f t="shared" si="7"/>
        <v>-65.443726273684561</v>
      </c>
      <c r="O26" s="42">
        <f t="shared" si="8"/>
        <v>9.0728771228076024</v>
      </c>
    </row>
    <row r="27" spans="1:16" x14ac:dyDescent="0.25">
      <c r="A27" s="2">
        <v>-50</v>
      </c>
      <c r="B27" s="14">
        <f>'RTD Resistance @ Temperature'!B18</f>
        <v>80.31</v>
      </c>
      <c r="C27" s="10">
        <f t="shared" si="0"/>
        <v>4.9601649155631134E-4</v>
      </c>
      <c r="D27" s="10">
        <f t="shared" si="1"/>
        <v>0.49601649155631133</v>
      </c>
      <c r="E27" s="10">
        <f t="shared" si="2"/>
        <v>39.835084436887364</v>
      </c>
      <c r="F27" s="10">
        <f t="shared" si="3"/>
        <v>1.95919113049505</v>
      </c>
      <c r="G27" s="10">
        <f t="shared" si="4"/>
        <v>-13.485176470788787</v>
      </c>
      <c r="H27" s="204">
        <f t="shared" si="9"/>
        <v>0.19591911304950499</v>
      </c>
      <c r="I27" s="204"/>
      <c r="J27" s="204">
        <f t="shared" si="10"/>
        <v>0.19535011164490398</v>
      </c>
      <c r="K27" s="204"/>
      <c r="L27" s="39">
        <f t="shared" si="5"/>
        <v>-50.85941471425712</v>
      </c>
      <c r="M27" s="6">
        <f t="shared" si="6"/>
        <v>1.7188294285142407</v>
      </c>
      <c r="N27" s="39">
        <f t="shared" si="7"/>
        <v>-54.418174848328313</v>
      </c>
      <c r="O27" s="42">
        <f t="shared" si="8"/>
        <v>8.836349696656626</v>
      </c>
    </row>
    <row r="28" spans="1:16" x14ac:dyDescent="0.25">
      <c r="A28" s="2">
        <v>-40</v>
      </c>
      <c r="B28" s="14">
        <f>'RTD Resistance @ Temperature'!B19</f>
        <v>84.27</v>
      </c>
      <c r="C28" s="10">
        <f t="shared" si="0"/>
        <v>4.9582171044607092E-4</v>
      </c>
      <c r="D28" s="10">
        <f t="shared" si="1"/>
        <v>0.49582171044607093</v>
      </c>
      <c r="E28" s="10">
        <f t="shared" si="2"/>
        <v>41.782895539290394</v>
      </c>
      <c r="F28" s="10">
        <f t="shared" si="3"/>
        <v>1.9478111024030298</v>
      </c>
      <c r="G28" s="10">
        <f t="shared" si="4"/>
        <v>-11.537365368385757</v>
      </c>
      <c r="H28" s="204">
        <f t="shared" si="9"/>
        <v>0.19478111024030298</v>
      </c>
      <c r="I28" s="204"/>
      <c r="J28" s="204">
        <f t="shared" si="10"/>
        <v>0.19445900506781227</v>
      </c>
      <c r="K28" s="204"/>
      <c r="L28" s="39">
        <f t="shared" si="5"/>
        <v>-40.614750305639838</v>
      </c>
      <c r="M28" s="6">
        <f t="shared" si="6"/>
        <v>1.5368757640995945</v>
      </c>
      <c r="N28" s="39">
        <f t="shared" si="7"/>
        <v>-43.456665712158447</v>
      </c>
      <c r="O28" s="42">
        <f t="shared" si="8"/>
        <v>8.6416642803961174</v>
      </c>
    </row>
    <row r="29" spans="1:16" x14ac:dyDescent="0.25">
      <c r="A29" s="2">
        <v>-30</v>
      </c>
      <c r="B29" s="14">
        <f>'RTD Resistance @ Temperature'!B20</f>
        <v>88.22</v>
      </c>
      <c r="C29" s="10">
        <f t="shared" si="0"/>
        <v>4.9562757354617562E-4</v>
      </c>
      <c r="D29" s="10">
        <f t="shared" si="1"/>
        <v>0.49562757354617559</v>
      </c>
      <c r="E29" s="10">
        <f t="shared" si="2"/>
        <v>43.724264538243609</v>
      </c>
      <c r="F29" s="10">
        <f t="shared" si="3"/>
        <v>1.9413689989532159</v>
      </c>
      <c r="G29" s="10">
        <f t="shared" si="4"/>
        <v>-9.595996369432541</v>
      </c>
      <c r="H29" s="204">
        <f t="shared" si="9"/>
        <v>0.1941368998953216</v>
      </c>
      <c r="I29" s="204"/>
      <c r="J29" s="204">
        <f t="shared" si="10"/>
        <v>0.19381546147799397</v>
      </c>
      <c r="K29" s="204"/>
      <c r="L29" s="39">
        <f t="shared" si="5"/>
        <v>-30.40396864255548</v>
      </c>
      <c r="M29" s="6">
        <f t="shared" si="6"/>
        <v>1.3465621418515994</v>
      </c>
      <c r="N29" s="39">
        <f t="shared" si="7"/>
        <v>-32.531410181758758</v>
      </c>
      <c r="O29" s="42">
        <f t="shared" si="8"/>
        <v>8.4380339391958614</v>
      </c>
    </row>
    <row r="30" spans="1:16" x14ac:dyDescent="0.25">
      <c r="A30" s="2">
        <v>-20</v>
      </c>
      <c r="B30" s="14">
        <f>'RTD Resistance @ Temperature'!B21</f>
        <v>92.16</v>
      </c>
      <c r="C30" s="10">
        <f t="shared" si="0"/>
        <v>4.9543407952311498E-4</v>
      </c>
      <c r="D30" s="10">
        <f t="shared" si="1"/>
        <v>0.49543407952311497</v>
      </c>
      <c r="E30" s="10">
        <f t="shared" si="2"/>
        <v>45.659204768850273</v>
      </c>
      <c r="F30" s="10">
        <f t="shared" si="3"/>
        <v>1.9349402306066636</v>
      </c>
      <c r="G30" s="10">
        <f t="shared" si="4"/>
        <v>-7.6610561388258773</v>
      </c>
      <c r="H30" s="204">
        <f t="shared" si="9"/>
        <v>0.19349402306066638</v>
      </c>
      <c r="I30" s="204"/>
      <c r="J30" s="204">
        <f t="shared" si="10"/>
        <v>0.1931732484461019</v>
      </c>
      <c r="K30" s="204"/>
      <c r="L30" s="39">
        <f t="shared" si="5"/>
        <v>-20.226999587988406</v>
      </c>
      <c r="M30" s="6">
        <f t="shared" si="6"/>
        <v>1.1349979399420285</v>
      </c>
      <c r="N30" s="39">
        <f t="shared" si="7"/>
        <v>-21.642333212451625</v>
      </c>
      <c r="O30" s="42">
        <f t="shared" si="8"/>
        <v>8.211666062258125</v>
      </c>
    </row>
    <row r="31" spans="1:16" x14ac:dyDescent="0.25">
      <c r="A31" s="2">
        <v>-10</v>
      </c>
      <c r="B31" s="14">
        <f>'RTD Resistance @ Temperature'!B22</f>
        <v>96.09</v>
      </c>
      <c r="C31" s="10">
        <f t="shared" si="0"/>
        <v>4.9524122704928345E-4</v>
      </c>
      <c r="D31" s="10">
        <f t="shared" si="1"/>
        <v>0.49524122704928347</v>
      </c>
      <c r="E31" s="10">
        <f t="shared" si="2"/>
        <v>47.587729507165648</v>
      </c>
      <c r="F31" s="10">
        <f t="shared" si="3"/>
        <v>1.9285247383153745</v>
      </c>
      <c r="G31" s="10">
        <f t="shared" si="4"/>
        <v>-5.7325314005105028</v>
      </c>
      <c r="H31" s="204">
        <f t="shared" si="9"/>
        <v>0.19285247383153745</v>
      </c>
      <c r="I31" s="204"/>
      <c r="J31" s="204">
        <f t="shared" si="10"/>
        <v>0.19228728630996167</v>
      </c>
      <c r="K31" s="204"/>
      <c r="L31" s="39">
        <f t="shared" si="5"/>
        <v>-10.083773315490518</v>
      </c>
      <c r="M31" s="6">
        <f t="shared" si="6"/>
        <v>0.83773315490518019</v>
      </c>
      <c r="N31" s="39">
        <f t="shared" si="7"/>
        <v>-10.789360091858176</v>
      </c>
      <c r="O31" s="42">
        <f t="shared" si="8"/>
        <v>7.8936009185817637</v>
      </c>
    </row>
    <row r="32" spans="1:16" ht="16.5" x14ac:dyDescent="0.3">
      <c r="A32" s="12">
        <v>0</v>
      </c>
      <c r="B32" s="51">
        <f>'RTD Resistance @ Temperature'!B23</f>
        <v>100</v>
      </c>
      <c r="C32" s="52">
        <f t="shared" si="0"/>
        <v>4.9504950495049506E-4</v>
      </c>
      <c r="D32" s="52">
        <f t="shared" si="1"/>
        <v>0.49504950495049505</v>
      </c>
      <c r="E32" s="52">
        <f t="shared" si="2"/>
        <v>49.504950495049506</v>
      </c>
      <c r="F32" s="52">
        <f t="shared" si="3"/>
        <v>1.9172209878838586</v>
      </c>
      <c r="G32" s="52">
        <f t="shared" si="4"/>
        <v>-3.8153104126266442</v>
      </c>
      <c r="H32" s="210">
        <f t="shared" si="9"/>
        <v>0.19172209878838586</v>
      </c>
      <c r="I32" s="210"/>
      <c r="J32" s="210">
        <f t="shared" si="10"/>
        <v>0.19140302176659035</v>
      </c>
      <c r="K32" s="210"/>
      <c r="L32" s="53">
        <f t="shared" si="5"/>
        <v>0</v>
      </c>
      <c r="M32" s="54">
        <v>0</v>
      </c>
      <c r="N32" s="53">
        <f t="shared" si="7"/>
        <v>0</v>
      </c>
      <c r="O32" s="55">
        <v>0</v>
      </c>
      <c r="P32" s="13" t="s">
        <v>67</v>
      </c>
    </row>
    <row r="33" spans="1:16" x14ac:dyDescent="0.25">
      <c r="A33" s="12">
        <v>10</v>
      </c>
      <c r="B33" s="14">
        <f>'RTD Resistance @ Temperature'!B24</f>
        <v>103.9</v>
      </c>
      <c r="C33" s="10">
        <f t="shared" si="0"/>
        <v>4.9485842100575027E-4</v>
      </c>
      <c r="D33" s="10">
        <f t="shared" si="1"/>
        <v>0.49485842100575028</v>
      </c>
      <c r="E33" s="10">
        <f t="shared" si="2"/>
        <v>51.415789942497454</v>
      </c>
      <c r="F33" s="10">
        <f t="shared" si="3"/>
        <v>1.9108394474479482</v>
      </c>
      <c r="G33" s="10">
        <f t="shared" si="4"/>
        <v>-1.904470965178696</v>
      </c>
      <c r="H33" s="204">
        <f t="shared" si="9"/>
        <v>0.19108394474479481</v>
      </c>
      <c r="I33" s="204"/>
      <c r="J33" s="204">
        <f t="shared" si="10"/>
        <v>0.1907655206313322</v>
      </c>
      <c r="K33" s="204"/>
      <c r="L33" s="39">
        <f t="shared" si="5"/>
        <v>10.050209105852701</v>
      </c>
      <c r="M33" s="6">
        <f t="shared" si="6"/>
        <v>0.50209105852701441</v>
      </c>
      <c r="N33" s="39">
        <f t="shared" si="7"/>
        <v>10.753447310734396</v>
      </c>
      <c r="O33" s="42">
        <f t="shared" si="8"/>
        <v>7.5344731073439597</v>
      </c>
    </row>
    <row r="34" spans="1:16" x14ac:dyDescent="0.25">
      <c r="A34" s="12">
        <v>20</v>
      </c>
      <c r="B34" s="46">
        <f>'RTD Resistance @ Temperature'!B25</f>
        <v>107.79</v>
      </c>
      <c r="C34" s="47">
        <f>$D$4 / ($D$5 + $D$6 + B34)</f>
        <v>4.946679739092323E-4</v>
      </c>
      <c r="D34" s="47">
        <f t="shared" si="1"/>
        <v>0.49466797390923228</v>
      </c>
      <c r="E34" s="47">
        <f t="shared" si="2"/>
        <v>53.32026090767615</v>
      </c>
      <c r="F34" s="47">
        <f>E34-E33</f>
        <v>1.904470965178696</v>
      </c>
      <c r="G34" s="47">
        <f t="shared" si="4"/>
        <v>0</v>
      </c>
      <c r="H34" s="211">
        <f t="shared" si="9"/>
        <v>0.19044709651786959</v>
      </c>
      <c r="I34" s="211"/>
      <c r="J34" s="211">
        <f t="shared" si="10"/>
        <v>0.19012932241729957</v>
      </c>
      <c r="K34" s="211"/>
      <c r="L34" s="48">
        <f t="shared" si="5"/>
        <v>20.066922682513567</v>
      </c>
      <c r="M34" s="49">
        <f t="shared" si="6"/>
        <v>0.33461341256783683</v>
      </c>
      <c r="N34" s="48">
        <f t="shared" si="7"/>
        <v>21.471055326533147</v>
      </c>
      <c r="O34" s="50">
        <f t="shared" si="8"/>
        <v>7.3552766326657348</v>
      </c>
      <c r="P34" s="1" t="s">
        <v>66</v>
      </c>
    </row>
    <row r="35" spans="1:16" x14ac:dyDescent="0.25">
      <c r="A35" s="12">
        <v>30</v>
      </c>
      <c r="B35" s="14">
        <f>'RTD Resistance @ Temperature'!B26</f>
        <v>111.67</v>
      </c>
      <c r="C35" s="10">
        <f t="shared" si="0"/>
        <v>4.9447816236091564E-4</v>
      </c>
      <c r="D35" s="10">
        <f t="shared" si="1"/>
        <v>0.49447816236091563</v>
      </c>
      <c r="E35" s="10">
        <f t="shared" si="2"/>
        <v>55.218376390843446</v>
      </c>
      <c r="F35" s="10">
        <f t="shared" si="3"/>
        <v>1.8981154831672953</v>
      </c>
      <c r="G35" s="10">
        <f t="shared" si="4"/>
        <v>1.8981154831672953</v>
      </c>
      <c r="H35" s="204">
        <f t="shared" si="9"/>
        <v>0.18981154831672953</v>
      </c>
      <c r="I35" s="204"/>
      <c r="J35" s="204">
        <f t="shared" si="10"/>
        <v>0.18949442134560074</v>
      </c>
      <c r="K35" s="204"/>
      <c r="L35" s="39">
        <f t="shared" si="5"/>
        <v>30.050209105852698</v>
      </c>
      <c r="M35" s="6">
        <f t="shared" si="6"/>
        <v>0.16736368617565964</v>
      </c>
      <c r="N35" s="39">
        <f t="shared" si="7"/>
        <v>32.152897207696576</v>
      </c>
      <c r="O35" s="42">
        <f t="shared" si="8"/>
        <v>7.1763240256552523</v>
      </c>
    </row>
    <row r="36" spans="1:16" x14ac:dyDescent="0.25">
      <c r="A36" s="12">
        <v>40</v>
      </c>
      <c r="B36" s="14">
        <f>'RTD Resistance @ Temperature'!B27</f>
        <v>115.54</v>
      </c>
      <c r="C36" s="10">
        <f t="shared" si="0"/>
        <v>4.9428898506654109E-4</v>
      </c>
      <c r="D36" s="10">
        <f t="shared" si="1"/>
        <v>0.49428898506654112</v>
      </c>
      <c r="E36" s="10">
        <f t="shared" si="2"/>
        <v>57.110149334588165</v>
      </c>
      <c r="F36" s="10">
        <f t="shared" si="3"/>
        <v>1.8917729437447193</v>
      </c>
      <c r="G36" s="10">
        <f t="shared" si="4"/>
        <v>3.7898884269120146</v>
      </c>
      <c r="H36" s="204">
        <f t="shared" si="9"/>
        <v>0.18917729437447192</v>
      </c>
      <c r="I36" s="204"/>
      <c r="J36" s="204">
        <f t="shared" si="10"/>
        <v>0.18886081166125876</v>
      </c>
      <c r="K36" s="204"/>
      <c r="L36" s="39">
        <f t="shared" si="5"/>
        <v>40.000136448425451</v>
      </c>
      <c r="M36" s="6">
        <f t="shared" si="6"/>
        <v>3.411210636272699E-4</v>
      </c>
      <c r="N36" s="39">
        <f t="shared" si="7"/>
        <v>42.799045789986558</v>
      </c>
      <c r="O36" s="42">
        <f t="shared" si="8"/>
        <v>6.9976144749663929</v>
      </c>
    </row>
    <row r="37" spans="1:16" x14ac:dyDescent="0.25">
      <c r="A37" s="12">
        <v>50</v>
      </c>
      <c r="B37" s="14">
        <f>'RTD Resistance @ Temperature'!B28</f>
        <v>119.4</v>
      </c>
      <c r="C37" s="10">
        <f t="shared" si="0"/>
        <v>4.9410044073759315E-4</v>
      </c>
      <c r="D37" s="10">
        <f t="shared" si="1"/>
        <v>0.49410044073759313</v>
      </c>
      <c r="E37" s="10">
        <f t="shared" si="2"/>
        <v>58.995592624068621</v>
      </c>
      <c r="F37" s="10">
        <f t="shared" si="3"/>
        <v>1.885443289480456</v>
      </c>
      <c r="G37" s="10">
        <f t="shared" si="4"/>
        <v>5.6753317163924706</v>
      </c>
      <c r="H37" s="204">
        <f t="shared" si="9"/>
        <v>0.1885443289480456</v>
      </c>
      <c r="I37" s="204"/>
      <c r="J37" s="204">
        <f t="shared" si="10"/>
        <v>0.18798453780668858</v>
      </c>
      <c r="K37" s="204"/>
      <c r="L37" s="39">
        <f t="shared" si="5"/>
        <v>49.91677248072692</v>
      </c>
      <c r="M37" s="6">
        <f t="shared" si="6"/>
        <v>-0.16645503854616095</v>
      </c>
      <c r="N37" s="39">
        <f t="shared" si="7"/>
        <v>53.409573585968808</v>
      </c>
      <c r="O37" s="42">
        <f t="shared" si="8"/>
        <v>6.8191471719376162</v>
      </c>
    </row>
    <row r="38" spans="1:16" x14ac:dyDescent="0.25">
      <c r="A38" s="12">
        <v>60</v>
      </c>
      <c r="B38" s="14">
        <f>'RTD Resistance @ Temperature'!B29</f>
        <v>123.24</v>
      </c>
      <c r="C38" s="10">
        <f t="shared" si="0"/>
        <v>4.9391301599092778E-4</v>
      </c>
      <c r="D38" s="10">
        <f t="shared" si="1"/>
        <v>0.4939130159909278</v>
      </c>
      <c r="E38" s="10">
        <f t="shared" si="2"/>
        <v>60.869840090721937</v>
      </c>
      <c r="F38" s="10">
        <f t="shared" si="3"/>
        <v>1.8742474666533155</v>
      </c>
      <c r="G38" s="10">
        <f t="shared" si="4"/>
        <v>7.5495791830457861</v>
      </c>
      <c r="H38" s="204">
        <f t="shared" si="9"/>
        <v>0.18742474666533154</v>
      </c>
      <c r="I38" s="204"/>
      <c r="J38" s="204">
        <f t="shared" si="10"/>
        <v>0.18735367869438768</v>
      </c>
      <c r="K38" s="204"/>
      <c r="L38" s="39">
        <f t="shared" si="5"/>
        <v>59.774523209673823</v>
      </c>
      <c r="M38" s="6">
        <f t="shared" si="6"/>
        <v>-0.37579465054362754</v>
      </c>
      <c r="N38" s="39">
        <f t="shared" si="7"/>
        <v>63.957095727010888</v>
      </c>
      <c r="O38" s="42">
        <f t="shared" si="8"/>
        <v>6.5951595450181459</v>
      </c>
    </row>
    <row r="39" spans="1:16" x14ac:dyDescent="0.25">
      <c r="A39" s="12">
        <v>70</v>
      </c>
      <c r="B39" s="14">
        <f>'RTD Resistance @ Temperature'!B30</f>
        <v>127.08</v>
      </c>
      <c r="C39" s="10">
        <f t="shared" si="0"/>
        <v>4.9372573338020442E-4</v>
      </c>
      <c r="D39" s="10">
        <f t="shared" si="1"/>
        <v>0.49372573338020442</v>
      </c>
      <c r="E39" s="10">
        <f t="shared" si="2"/>
        <v>62.742666197956375</v>
      </c>
      <c r="F39" s="10">
        <f t="shared" si="3"/>
        <v>1.8728261072344381</v>
      </c>
      <c r="G39" s="10">
        <f t="shared" si="4"/>
        <v>9.4224052902802242</v>
      </c>
      <c r="H39" s="204">
        <f t="shared" si="9"/>
        <v>0.18728261072344382</v>
      </c>
      <c r="I39" s="204"/>
      <c r="J39" s="204">
        <f t="shared" si="10"/>
        <v>0.18672446191801911</v>
      </c>
      <c r="K39" s="204"/>
      <c r="L39" s="39">
        <f t="shared" si="5"/>
        <v>69.624798187901121</v>
      </c>
      <c r="M39" s="6">
        <f t="shared" si="6"/>
        <v>-0.53600258871268491</v>
      </c>
      <c r="N39" s="39">
        <f t="shared" si="7"/>
        <v>74.496619020404665</v>
      </c>
      <c r="O39" s="42">
        <f t="shared" si="8"/>
        <v>6.4237414577209506</v>
      </c>
    </row>
    <row r="40" spans="1:16" x14ac:dyDescent="0.25">
      <c r="A40" s="12">
        <v>80</v>
      </c>
      <c r="B40" s="14">
        <f>'RTD Resistance @ Temperature'!B31</f>
        <v>130.9</v>
      </c>
      <c r="C40" s="10">
        <f t="shared" si="0"/>
        <v>4.9353956706709183E-4</v>
      </c>
      <c r="D40" s="10">
        <f t="shared" si="1"/>
        <v>0.49353956706709184</v>
      </c>
      <c r="E40" s="10">
        <f t="shared" si="2"/>
        <v>64.604329329082319</v>
      </c>
      <c r="F40" s="10">
        <f t="shared" si="3"/>
        <v>1.8616631311259439</v>
      </c>
      <c r="G40" s="10">
        <f t="shared" si="4"/>
        <v>11.284068421406168</v>
      </c>
      <c r="H40" s="204">
        <f t="shared" si="9"/>
        <v>0.18616631311259441</v>
      </c>
      <c r="I40" s="204"/>
      <c r="J40" s="204">
        <f t="shared" si="10"/>
        <v>0.18585274495722892</v>
      </c>
      <c r="K40" s="204"/>
      <c r="L40" s="39">
        <f t="shared" si="5"/>
        <v>79.416360622652405</v>
      </c>
      <c r="M40" s="6">
        <f t="shared" si="6"/>
        <v>-0.72954922168449343</v>
      </c>
      <c r="N40" s="39">
        <f t="shared" si="7"/>
        <v>84.973321507176507</v>
      </c>
      <c r="O40" s="42">
        <f t="shared" si="8"/>
        <v>6.2166518839706342</v>
      </c>
    </row>
    <row r="41" spans="1:16" x14ac:dyDescent="0.25">
      <c r="A41" s="12">
        <v>90</v>
      </c>
      <c r="B41" s="14">
        <f>'RTD Resistance @ Temperature'!B32</f>
        <v>134.71</v>
      </c>
      <c r="C41" s="10">
        <f t="shared" si="0"/>
        <v>4.933540278902899E-4</v>
      </c>
      <c r="D41" s="10">
        <f t="shared" si="1"/>
        <v>0.49335402789028987</v>
      </c>
      <c r="E41" s="10">
        <f t="shared" si="2"/>
        <v>66.459721097100953</v>
      </c>
      <c r="F41" s="10">
        <f t="shared" si="3"/>
        <v>1.8553917680186345</v>
      </c>
      <c r="G41" s="10">
        <f t="shared" si="4"/>
        <v>13.139460189424803</v>
      </c>
      <c r="H41" s="204">
        <f t="shared" si="9"/>
        <v>0.18553917680186344</v>
      </c>
      <c r="I41" s="204"/>
      <c r="J41" s="204">
        <f t="shared" si="10"/>
        <v>0.18522623666498106</v>
      </c>
      <c r="K41" s="204"/>
      <c r="L41" s="39">
        <f t="shared" si="5"/>
        <v>89.174938334018691</v>
      </c>
      <c r="M41" s="6">
        <f t="shared" si="6"/>
        <v>-0.91673518442367663</v>
      </c>
      <c r="N41" s="39">
        <f t="shared" si="7"/>
        <v>95.414731247176249</v>
      </c>
      <c r="O41" s="42">
        <f t="shared" si="8"/>
        <v>6.0163680524180547</v>
      </c>
    </row>
    <row r="42" spans="1:16" x14ac:dyDescent="0.25">
      <c r="A42" s="12">
        <v>100</v>
      </c>
      <c r="B42" s="14">
        <f>'RTD Resistance @ Temperature'!B33</f>
        <v>138.51</v>
      </c>
      <c r="C42" s="10">
        <f t="shared" si="0"/>
        <v>4.9316911459376179E-4</v>
      </c>
      <c r="D42" s="10">
        <f t="shared" si="1"/>
        <v>0.49316911459376178</v>
      </c>
      <c r="E42" s="10">
        <f t="shared" si="2"/>
        <v>68.30885406238194</v>
      </c>
      <c r="F42" s="10">
        <f t="shared" si="3"/>
        <v>1.8491329652809867</v>
      </c>
      <c r="G42" s="10">
        <f t="shared" si="4"/>
        <v>14.988593154705789</v>
      </c>
      <c r="H42" s="204">
        <f t="shared" si="9"/>
        <v>0.18491329652809868</v>
      </c>
      <c r="I42" s="204"/>
      <c r="J42" s="204">
        <f t="shared" si="10"/>
        <v>0.18435794733775096</v>
      </c>
      <c r="K42" s="204"/>
      <c r="L42" s="39">
        <f t="shared" si="5"/>
        <v>98.900597384243852</v>
      </c>
      <c r="M42" s="6">
        <f t="shared" si="6"/>
        <v>-1.0994026157561478</v>
      </c>
      <c r="N42" s="39">
        <f t="shared" si="7"/>
        <v>105.82091892518774</v>
      </c>
      <c r="O42" s="42">
        <f t="shared" si="8"/>
        <v>5.8209189251877405</v>
      </c>
    </row>
    <row r="43" spans="1:16" x14ac:dyDescent="0.25">
      <c r="A43" s="12">
        <v>110</v>
      </c>
      <c r="B43" s="14">
        <f>'RTD Resistance @ Temperature'!B34</f>
        <v>142.29</v>
      </c>
      <c r="C43" s="10">
        <f t="shared" si="0"/>
        <v>4.9298531199561439E-4</v>
      </c>
      <c r="D43" s="10">
        <f t="shared" si="1"/>
        <v>0.49298531199561441</v>
      </c>
      <c r="E43" s="10">
        <f t="shared" si="2"/>
        <v>70.146880043855973</v>
      </c>
      <c r="F43" s="10">
        <f t="shared" si="3"/>
        <v>1.8380259814740327</v>
      </c>
      <c r="G43" s="10">
        <f t="shared" si="4"/>
        <v>16.826619136179822</v>
      </c>
      <c r="H43" s="204">
        <f t="shared" si="9"/>
        <v>0.18380259814740327</v>
      </c>
      <c r="I43" s="204"/>
      <c r="J43" s="204">
        <f t="shared" si="10"/>
        <v>0.18373412101083703</v>
      </c>
      <c r="K43" s="204"/>
      <c r="L43" s="39">
        <f t="shared" si="5"/>
        <v>108.56783838686994</v>
      </c>
      <c r="M43" s="6">
        <f t="shared" si="6"/>
        <v>-1.3019651028455119</v>
      </c>
      <c r="N43" s="39">
        <f t="shared" si="7"/>
        <v>116.1646008990655</v>
      </c>
      <c r="O43" s="42">
        <f t="shared" si="8"/>
        <v>5.6041826355140953</v>
      </c>
    </row>
    <row r="44" spans="1:16" x14ac:dyDescent="0.25">
      <c r="A44" s="12">
        <v>120</v>
      </c>
      <c r="B44" s="14">
        <f>'RTD Resistance @ Temperature'!B35</f>
        <v>146.07</v>
      </c>
      <c r="C44" s="10">
        <f t="shared" si="0"/>
        <v>4.928016463517401E-4</v>
      </c>
      <c r="D44" s="10">
        <f t="shared" si="1"/>
        <v>0.49280164635174012</v>
      </c>
      <c r="E44" s="10">
        <f t="shared" si="2"/>
        <v>71.98353648259868</v>
      </c>
      <c r="F44" s="10">
        <f t="shared" si="3"/>
        <v>1.8366564387427076</v>
      </c>
      <c r="G44" s="10">
        <f t="shared" si="4"/>
        <v>18.66327557492253</v>
      </c>
      <c r="H44" s="204">
        <f t="shared" si="9"/>
        <v>0.18366564387427076</v>
      </c>
      <c r="I44" s="204"/>
      <c r="J44" s="204">
        <f t="shared" si="10"/>
        <v>0.18311189706856865</v>
      </c>
      <c r="K44" s="204"/>
      <c r="L44" s="39">
        <f t="shared" si="5"/>
        <v>118.22787617268594</v>
      </c>
      <c r="M44" s="6">
        <f t="shared" si="6"/>
        <v>-1.4767698560950511</v>
      </c>
      <c r="N44" s="39">
        <f t="shared" si="7"/>
        <v>126.50057562908206</v>
      </c>
      <c r="O44" s="42">
        <f t="shared" si="8"/>
        <v>5.4171463575683871</v>
      </c>
    </row>
    <row r="45" spans="1:16" x14ac:dyDescent="0.25">
      <c r="A45" s="12">
        <v>130</v>
      </c>
      <c r="B45" s="14">
        <f>'RTD Resistance @ Temperature'!B36</f>
        <v>149.83000000000001</v>
      </c>
      <c r="C45" s="10">
        <f t="shared" si="0"/>
        <v>4.9261908820147728E-4</v>
      </c>
      <c r="D45" s="10">
        <f t="shared" si="1"/>
        <v>0.49261908820147726</v>
      </c>
      <c r="E45" s="10">
        <f t="shared" si="2"/>
        <v>73.809117985227346</v>
      </c>
      <c r="F45" s="10">
        <f t="shared" si="3"/>
        <v>1.8255815026286655</v>
      </c>
      <c r="G45" s="10">
        <f t="shared" si="4"/>
        <v>20.488857077551195</v>
      </c>
      <c r="H45" s="204">
        <f t="shared" si="9"/>
        <v>0.18255815026286654</v>
      </c>
      <c r="I45" s="204"/>
      <c r="J45" s="204">
        <f t="shared" si="10"/>
        <v>0.18224805261304694</v>
      </c>
      <c r="K45" s="204"/>
      <c r="L45" s="39">
        <f t="shared" si="5"/>
        <v>127.82966446824322</v>
      </c>
      <c r="M45" s="6">
        <f t="shared" si="6"/>
        <v>-1.669488870582136</v>
      </c>
      <c r="N45" s="39">
        <f>($E45-$M$2)/$M$7</f>
        <v>136.77422500668285</v>
      </c>
      <c r="O45" s="42">
        <f t="shared" si="8"/>
        <v>5.2109423128329651</v>
      </c>
    </row>
    <row r="46" spans="1:16" x14ac:dyDescent="0.25">
      <c r="A46" s="12">
        <v>140</v>
      </c>
      <c r="B46" s="14">
        <f>'RTD Resistance @ Temperature'!B37</f>
        <v>153.58000000000001</v>
      </c>
      <c r="C46" s="10">
        <f t="shared" si="0"/>
        <v>4.9243715024651399E-4</v>
      </c>
      <c r="D46" s="10">
        <f t="shared" si="1"/>
        <v>0.49243715024651397</v>
      </c>
      <c r="E46" s="10">
        <f t="shared" si="2"/>
        <v>75.628497534859619</v>
      </c>
      <c r="F46" s="10">
        <f t="shared" si="3"/>
        <v>1.8193795496322736</v>
      </c>
      <c r="G46" s="10">
        <f t="shared" si="4"/>
        <v>22.308236627183469</v>
      </c>
      <c r="H46" s="204">
        <f t="shared" si="9"/>
        <v>0.18193795496322734</v>
      </c>
      <c r="I46" s="204"/>
      <c r="J46" s="204">
        <f t="shared" si="10"/>
        <v>0.18187078501491455</v>
      </c>
      <c r="K46" s="204"/>
      <c r="L46" s="39">
        <f t="shared" si="5"/>
        <v>137.3988331083074</v>
      </c>
      <c r="M46" s="6">
        <f t="shared" si="6"/>
        <v>-1.8579763512089997</v>
      </c>
      <c r="N46" s="39">
        <f t="shared" si="7"/>
        <v>147.01297225011461</v>
      </c>
      <c r="O46" s="42">
        <f t="shared" si="8"/>
        <v>5.0092658929390108</v>
      </c>
    </row>
    <row r="47" spans="1:16" x14ac:dyDescent="0.25">
      <c r="A47" s="12">
        <v>150</v>
      </c>
      <c r="B47" s="14">
        <f>'RTD Resistance @ Temperature'!B38</f>
        <v>157.33000000000001</v>
      </c>
      <c r="C47" s="10">
        <f t="shared" si="0"/>
        <v>4.9225534663144743E-4</v>
      </c>
      <c r="D47" s="10">
        <f t="shared" si="1"/>
        <v>0.49225534663144743</v>
      </c>
      <c r="E47" s="10">
        <f t="shared" si="2"/>
        <v>77.446533685525637</v>
      </c>
      <c r="F47" s="10">
        <f t="shared" si="3"/>
        <v>1.8180361506660176</v>
      </c>
      <c r="G47" s="10">
        <f t="shared" si="4"/>
        <v>24.126272777849486</v>
      </c>
      <c r="H47" s="204">
        <f t="shared" si="9"/>
        <v>0.18180361506660175</v>
      </c>
      <c r="I47" s="204"/>
      <c r="J47" s="204">
        <f t="shared" si="10"/>
        <v>0.18101010783046476</v>
      </c>
      <c r="K47" s="204"/>
      <c r="L47" s="39">
        <f t="shared" si="5"/>
        <v>146.9609360367329</v>
      </c>
      <c r="M47" s="6">
        <f t="shared" si="6"/>
        <v>-2.0260426421780648</v>
      </c>
      <c r="N47" s="39">
        <f t="shared" si="7"/>
        <v>157.24415937643647</v>
      </c>
      <c r="O47" s="42">
        <f t="shared" si="8"/>
        <v>4.8294395842909807</v>
      </c>
    </row>
    <row r="48" spans="1:16" x14ac:dyDescent="0.25">
      <c r="A48" s="12">
        <v>160</v>
      </c>
      <c r="B48" s="14">
        <f>'RTD Resistance @ Temperature'!B39</f>
        <v>161.05000000000001</v>
      </c>
      <c r="C48" s="10">
        <f t="shared" si="0"/>
        <v>4.9207513003085318E-4</v>
      </c>
      <c r="D48" s="10">
        <f t="shared" si="1"/>
        <v>0.49207513003085318</v>
      </c>
      <c r="E48" s="10">
        <f t="shared" si="2"/>
        <v>79.248699691468914</v>
      </c>
      <c r="F48" s="10">
        <f t="shared" si="3"/>
        <v>1.8021660059432776</v>
      </c>
      <c r="G48" s="10">
        <f t="shared" si="4"/>
        <v>25.928438783792764</v>
      </c>
      <c r="H48" s="204">
        <f t="shared" si="9"/>
        <v>0.18021660059432776</v>
      </c>
      <c r="I48" s="204"/>
      <c r="J48" s="204">
        <f t="shared" si="10"/>
        <v>0.18015064674055453</v>
      </c>
      <c r="K48" s="204"/>
      <c r="L48" s="39">
        <f t="shared" si="5"/>
        <v>156.4395687012298</v>
      </c>
      <c r="M48" s="6">
        <f t="shared" si="6"/>
        <v>-2.2252695617313734</v>
      </c>
      <c r="N48" s="39">
        <f t="shared" si="7"/>
        <v>167.38603561621699</v>
      </c>
      <c r="O48" s="42">
        <f t="shared" si="8"/>
        <v>4.6162722601356165</v>
      </c>
    </row>
    <row r="49" spans="1:15" x14ac:dyDescent="0.25">
      <c r="A49" s="12">
        <v>170</v>
      </c>
      <c r="B49" s="14">
        <f>'RTD Resistance @ Temperature'!B40</f>
        <v>164.77</v>
      </c>
      <c r="C49" s="10">
        <f t="shared" si="0"/>
        <v>4.9189504533796635E-4</v>
      </c>
      <c r="D49" s="10">
        <f t="shared" si="1"/>
        <v>0.49189504533796635</v>
      </c>
      <c r="E49" s="10">
        <f t="shared" si="2"/>
        <v>81.049546620336727</v>
      </c>
      <c r="F49" s="10">
        <f t="shared" si="3"/>
        <v>1.8008469288678128</v>
      </c>
      <c r="G49" s="10">
        <f t="shared" si="4"/>
        <v>27.729285712660577</v>
      </c>
      <c r="H49" s="204">
        <f t="shared" si="9"/>
        <v>0.18008469288678128</v>
      </c>
      <c r="I49" s="204"/>
      <c r="J49" s="204">
        <f t="shared" si="10"/>
        <v>0.17977702744801646</v>
      </c>
      <c r="K49" s="204"/>
      <c r="L49" s="39">
        <f t="shared" si="5"/>
        <v>165.91126357696959</v>
      </c>
      <c r="M49" s="6">
        <f t="shared" si="6"/>
        <v>-2.4051390723708304</v>
      </c>
      <c r="N49" s="39">
        <f t="shared" si="7"/>
        <v>177.52048861285232</v>
      </c>
      <c r="O49" s="42">
        <f t="shared" si="8"/>
        <v>4.4238168310895993</v>
      </c>
    </row>
    <row r="50" spans="1:15" x14ac:dyDescent="0.25">
      <c r="A50" s="12">
        <v>180</v>
      </c>
      <c r="B50" s="14">
        <f>'RTD Resistance @ Temperature'!B41</f>
        <v>168.48</v>
      </c>
      <c r="C50" s="10">
        <f t="shared" si="0"/>
        <v>4.9171557597595713E-4</v>
      </c>
      <c r="D50" s="10">
        <f t="shared" si="1"/>
        <v>0.49171557597595711</v>
      </c>
      <c r="E50" s="10">
        <f t="shared" si="2"/>
        <v>82.844240240429244</v>
      </c>
      <c r="F50" s="10">
        <f t="shared" si="3"/>
        <v>1.7946936200925165</v>
      </c>
      <c r="G50" s="10">
        <f t="shared" si="4"/>
        <v>29.523979332753093</v>
      </c>
      <c r="H50" s="204">
        <f t="shared" si="9"/>
        <v>0.17946936200925165</v>
      </c>
      <c r="I50" s="204"/>
      <c r="J50" s="204">
        <f t="shared" si="10"/>
        <v>0.17892068926792107</v>
      </c>
      <c r="K50" s="204"/>
      <c r="L50" s="39">
        <f t="shared" si="5"/>
        <v>175.35059464529101</v>
      </c>
      <c r="M50" s="6">
        <f t="shared" si="6"/>
        <v>-2.5830029748383274</v>
      </c>
      <c r="N50" s="39">
        <f t="shared" si="7"/>
        <v>187.62031322572147</v>
      </c>
      <c r="O50" s="42">
        <f t="shared" si="8"/>
        <v>4.2335073476230418</v>
      </c>
    </row>
    <row r="51" spans="1:15" x14ac:dyDescent="0.25">
      <c r="A51" s="12">
        <v>190</v>
      </c>
      <c r="B51" s="14">
        <f>'RTD Resistance @ Temperature'!B42</f>
        <v>172.17</v>
      </c>
      <c r="C51" s="10">
        <f t="shared" si="0"/>
        <v>4.9153720395943051E-4</v>
      </c>
      <c r="D51" s="10">
        <f t="shared" si="1"/>
        <v>0.49153720395943051</v>
      </c>
      <c r="E51" s="10">
        <f t="shared" si="2"/>
        <v>84.627960405695148</v>
      </c>
      <c r="F51" s="10">
        <f t="shared" si="3"/>
        <v>1.7837201652659047</v>
      </c>
      <c r="G51" s="10">
        <f t="shared" si="4"/>
        <v>31.307699498018998</v>
      </c>
      <c r="H51" s="204">
        <f t="shared" si="9"/>
        <v>0.17837201652659046</v>
      </c>
      <c r="I51" s="204"/>
      <c r="J51" s="204">
        <f t="shared" si="10"/>
        <v>0.17830733474628033</v>
      </c>
      <c r="K51" s="204"/>
      <c r="L51" s="39">
        <f t="shared" si="5"/>
        <v>184.73220997209978</v>
      </c>
      <c r="M51" s="6">
        <f t="shared" si="6"/>
        <v>-2.7725210673159046</v>
      </c>
      <c r="N51" s="39">
        <f t="shared" si="7"/>
        <v>197.65838358265231</v>
      </c>
      <c r="O51" s="42">
        <f t="shared" si="8"/>
        <v>4.0307282013959504</v>
      </c>
    </row>
    <row r="52" spans="1:15" x14ac:dyDescent="0.25">
      <c r="A52" s="12">
        <v>200</v>
      </c>
      <c r="B52" s="14">
        <f>'RTD Resistance @ Temperature'!B43</f>
        <v>175.86</v>
      </c>
      <c r="C52" s="10">
        <f t="shared" si="0"/>
        <v>4.9135896130646445E-4</v>
      </c>
      <c r="D52" s="10">
        <f t="shared" si="1"/>
        <v>0.49135896130646445</v>
      </c>
      <c r="E52" s="10">
        <f t="shared" si="2"/>
        <v>86.41038693535485</v>
      </c>
      <c r="F52" s="10">
        <f t="shared" si="3"/>
        <v>1.7824265296597019</v>
      </c>
      <c r="G52" s="10">
        <f t="shared" si="4"/>
        <v>33.0901260276787</v>
      </c>
      <c r="H52" s="204">
        <f t="shared" si="9"/>
        <v>0.17824265296597019</v>
      </c>
      <c r="I52" s="204"/>
      <c r="J52" s="204">
        <f t="shared" si="10"/>
        <v>0.17769552332678415</v>
      </c>
      <c r="K52" s="204"/>
      <c r="L52" s="39">
        <f t="shared" si="5"/>
        <v>194.10702132154327</v>
      </c>
      <c r="M52" s="6">
        <f t="shared" si="6"/>
        <v>-2.9464893392283642</v>
      </c>
      <c r="N52" s="39">
        <f t="shared" si="7"/>
        <v>207.68917387094675</v>
      </c>
      <c r="O52" s="42">
        <f t="shared" si="8"/>
        <v>3.844586935473373</v>
      </c>
    </row>
    <row r="53" spans="1:15" x14ac:dyDescent="0.25">
      <c r="A53" s="12">
        <v>210</v>
      </c>
      <c r="B53" s="14">
        <f>'RTD Resistance @ Temperature'!B44</f>
        <v>179.53</v>
      </c>
      <c r="C53" s="10">
        <f t="shared" si="0"/>
        <v>4.9118181291277685E-4</v>
      </c>
      <c r="D53" s="10">
        <f t="shared" si="1"/>
        <v>0.49118181291277685</v>
      </c>
      <c r="E53" s="10">
        <f t="shared" si="2"/>
        <v>88.181870872230832</v>
      </c>
      <c r="F53" s="10">
        <f t="shared" si="3"/>
        <v>1.7714839368759812</v>
      </c>
      <c r="G53" s="10">
        <f t="shared" si="4"/>
        <v>34.861609964554681</v>
      </c>
      <c r="H53" s="204">
        <f t="shared" si="9"/>
        <v>0.1771483936875981</v>
      </c>
      <c r="I53" s="204"/>
      <c r="J53" s="204">
        <f t="shared" si="10"/>
        <v>0.17684346390356964</v>
      </c>
      <c r="K53" s="204"/>
      <c r="L53" s="39">
        <f t="shared" si="5"/>
        <v>203.42427925079573</v>
      </c>
      <c r="M53" s="6">
        <f t="shared" si="6"/>
        <v>-3.1312955948591736</v>
      </c>
      <c r="N53" s="39">
        <f t="shared" si="7"/>
        <v>217.65838358265231</v>
      </c>
      <c r="O53" s="42">
        <f t="shared" si="8"/>
        <v>3.6468493250725267</v>
      </c>
    </row>
    <row r="54" spans="1:15" x14ac:dyDescent="0.25">
      <c r="A54" s="12">
        <v>220</v>
      </c>
      <c r="B54" s="14">
        <f>'RTD Resistance @ Temperature'!B45</f>
        <v>183.19</v>
      </c>
      <c r="C54" s="10">
        <f t="shared" si="0"/>
        <v>4.9100527437865736E-4</v>
      </c>
      <c r="D54" s="10">
        <f t="shared" si="1"/>
        <v>0.49100527437865737</v>
      </c>
      <c r="E54" s="10">
        <f t="shared" si="2"/>
        <v>89.947256213426243</v>
      </c>
      <c r="F54" s="10">
        <f t="shared" si="3"/>
        <v>1.7653853411954117</v>
      </c>
      <c r="G54" s="10">
        <f t="shared" si="4"/>
        <v>36.626995305750093</v>
      </c>
      <c r="H54" s="204">
        <f t="shared" si="9"/>
        <v>0.17653853411954118</v>
      </c>
      <c r="I54" s="204"/>
      <c r="J54" s="204">
        <f t="shared" si="10"/>
        <v>0.17623419295838544</v>
      </c>
      <c r="K54" s="204"/>
      <c r="L54" s="39">
        <f t="shared" si="5"/>
        <v>212.70946114041877</v>
      </c>
      <c r="M54" s="6">
        <f t="shared" si="6"/>
        <v>-3.3138812998096512</v>
      </c>
      <c r="N54" s="39">
        <f t="shared" si="7"/>
        <v>227.59327281421076</v>
      </c>
      <c r="O54" s="42">
        <f t="shared" si="8"/>
        <v>3.4514876428230741</v>
      </c>
    </row>
    <row r="55" spans="1:15" x14ac:dyDescent="0.25">
      <c r="A55" s="12">
        <v>230</v>
      </c>
      <c r="B55" s="14">
        <f>'RTD Resistance @ Temperature'!B46</f>
        <v>186.84</v>
      </c>
      <c r="C55" s="10">
        <f t="shared" si="0"/>
        <v>4.9082934452686008E-4</v>
      </c>
      <c r="D55" s="10">
        <f t="shared" si="1"/>
        <v>0.49082934452686011</v>
      </c>
      <c r="E55" s="10">
        <f t="shared" si="2"/>
        <v>91.706554731398541</v>
      </c>
      <c r="F55" s="10">
        <f t="shared" si="3"/>
        <v>1.7592985179722973</v>
      </c>
      <c r="G55" s="10">
        <f t="shared" si="4"/>
        <v>38.38629382372239</v>
      </c>
      <c r="H55" s="204">
        <f t="shared" si="9"/>
        <v>0.17592985179722972</v>
      </c>
      <c r="I55" s="204"/>
      <c r="J55" s="204">
        <f t="shared" si="10"/>
        <v>0.17538535501682589</v>
      </c>
      <c r="K55" s="204"/>
      <c r="L55" s="39">
        <f t="shared" si="5"/>
        <v>221.96262890857057</v>
      </c>
      <c r="M55" s="6">
        <f t="shared" si="6"/>
        <v>-3.4945091701867113</v>
      </c>
      <c r="N55" s="39">
        <f t="shared" si="7"/>
        <v>237.49390781634824</v>
      </c>
      <c r="O55" s="42">
        <f t="shared" si="8"/>
        <v>3.2582207897166269</v>
      </c>
    </row>
    <row r="56" spans="1:15" x14ac:dyDescent="0.25">
      <c r="A56" s="12">
        <v>240</v>
      </c>
      <c r="B56" s="14">
        <f>'RTD Resistance @ Temperature'!B47</f>
        <v>190.47</v>
      </c>
      <c r="C56" s="10">
        <f t="shared" si="0"/>
        <v>4.9065450366862372E-4</v>
      </c>
      <c r="D56" s="10">
        <f t="shared" si="1"/>
        <v>0.49065450366862373</v>
      </c>
      <c r="E56" s="10">
        <f t="shared" si="2"/>
        <v>93.454963313762761</v>
      </c>
      <c r="F56" s="10">
        <f t="shared" si="3"/>
        <v>1.7484085823642204</v>
      </c>
      <c r="G56" s="10">
        <f t="shared" si="4"/>
        <v>40.13470240608661</v>
      </c>
      <c r="H56" s="204">
        <f t="shared" si="9"/>
        <v>0.17484085823642204</v>
      </c>
      <c r="I56" s="204"/>
      <c r="J56" s="204">
        <f t="shared" si="10"/>
        <v>0.17477859944796492</v>
      </c>
      <c r="K56" s="204"/>
      <c r="L56" s="39">
        <f t="shared" si="5"/>
        <v>231.15852021105351</v>
      </c>
      <c r="M56" s="6">
        <f t="shared" si="6"/>
        <v>-3.6839499120610362</v>
      </c>
      <c r="N56" s="39">
        <f t="shared" si="7"/>
        <v>247.33325857561795</v>
      </c>
      <c r="O56" s="42">
        <f t="shared" si="8"/>
        <v>3.0555244065074776</v>
      </c>
    </row>
    <row r="57" spans="1:15" x14ac:dyDescent="0.25">
      <c r="A57" s="12">
        <v>250</v>
      </c>
      <c r="B57" s="14">
        <f>'RTD Resistance @ Temperature'!B48</f>
        <v>194.1</v>
      </c>
      <c r="C57" s="10">
        <f t="shared" si="0"/>
        <v>4.9047978732796415E-4</v>
      </c>
      <c r="D57" s="10">
        <f t="shared" si="1"/>
        <v>0.49047978732796416</v>
      </c>
      <c r="E57" s="10">
        <f t="shared" si="2"/>
        <v>95.202126720357839</v>
      </c>
      <c r="F57" s="10">
        <f t="shared" si="3"/>
        <v>1.7471634065950781</v>
      </c>
      <c r="G57" s="10">
        <f t="shared" si="4"/>
        <v>41.881865812681689</v>
      </c>
      <c r="H57" s="204">
        <f t="shared" si="9"/>
        <v>0.17471634065950781</v>
      </c>
      <c r="I57" s="204"/>
      <c r="J57" s="204">
        <f t="shared" si="10"/>
        <v>0.17417334904409146</v>
      </c>
      <c r="K57" s="204"/>
      <c r="L57" s="39">
        <f t="shared" si="5"/>
        <v>240.34786241446372</v>
      </c>
      <c r="M57" s="6">
        <f t="shared" si="6"/>
        <v>-3.8608550342145125</v>
      </c>
      <c r="N57" s="39">
        <f t="shared" si="7"/>
        <v>257.16560197901379</v>
      </c>
      <c r="O57" s="42">
        <f t="shared" si="8"/>
        <v>2.8662407916055144</v>
      </c>
    </row>
    <row r="58" spans="1:15" x14ac:dyDescent="0.25">
      <c r="A58" s="12">
        <v>260</v>
      </c>
      <c r="B58" s="14">
        <f>'RTD Resistance @ Temperature'!B49</f>
        <v>197.71</v>
      </c>
      <c r="C58" s="10">
        <f t="shared" si="0"/>
        <v>4.9030615697053556E-4</v>
      </c>
      <c r="D58" s="10">
        <f t="shared" si="1"/>
        <v>0.49030615697053553</v>
      </c>
      <c r="E58" s="10">
        <f t="shared" si="2"/>
        <v>96.93843029464459</v>
      </c>
      <c r="F58" s="10">
        <f t="shared" si="3"/>
        <v>1.736303574286751</v>
      </c>
      <c r="G58" s="10">
        <f t="shared" si="4"/>
        <v>43.618169386968439</v>
      </c>
      <c r="H58" s="204">
        <f t="shared" si="9"/>
        <v>0.17363035742867511</v>
      </c>
      <c r="I58" s="204"/>
      <c r="J58" s="204">
        <f t="shared" si="10"/>
        <v>0.1733286836021378</v>
      </c>
      <c r="K58" s="204"/>
      <c r="L58" s="39">
        <f t="shared" si="5"/>
        <v>249.48008648285796</v>
      </c>
      <c r="M58" s="6">
        <f t="shared" si="6"/>
        <v>-4.0461205835161707</v>
      </c>
      <c r="N58" s="39">
        <f t="shared" si="7"/>
        <v>266.93683054898554</v>
      </c>
      <c r="O58" s="42">
        <f t="shared" si="8"/>
        <v>2.668011749609823</v>
      </c>
    </row>
    <row r="59" spans="1:15" x14ac:dyDescent="0.25">
      <c r="A59" s="12">
        <v>270</v>
      </c>
      <c r="B59" s="14">
        <f>'RTD Resistance @ Temperature'!B50</f>
        <v>201.31</v>
      </c>
      <c r="C59" s="10">
        <f t="shared" si="0"/>
        <v>4.9013312996075995E-4</v>
      </c>
      <c r="D59" s="10">
        <f t="shared" si="1"/>
        <v>0.49013312996075997</v>
      </c>
      <c r="E59" s="10">
        <f t="shared" si="2"/>
        <v>98.668700392400595</v>
      </c>
      <c r="F59" s="10">
        <f t="shared" si="3"/>
        <v>1.730270097756005</v>
      </c>
      <c r="G59" s="10">
        <f t="shared" si="4"/>
        <v>45.348439484724445</v>
      </c>
      <c r="H59" s="204">
        <f t="shared" si="9"/>
        <v>0.17302700977560051</v>
      </c>
      <c r="I59" s="204"/>
      <c r="J59" s="204">
        <f t="shared" si="10"/>
        <v>0.17272590954434436</v>
      </c>
      <c r="K59" s="204"/>
      <c r="L59" s="39">
        <f t="shared" si="5"/>
        <v>258.58057701087012</v>
      </c>
      <c r="M59" s="6">
        <f t="shared" si="6"/>
        <v>-4.2294159218999576</v>
      </c>
      <c r="N59" s="39">
        <f t="shared" si="7"/>
        <v>276.67410510358428</v>
      </c>
      <c r="O59" s="42">
        <f t="shared" si="8"/>
        <v>2.4718907791052893</v>
      </c>
    </row>
    <row r="60" spans="1:15" x14ac:dyDescent="0.25">
      <c r="A60" s="12">
        <v>280</v>
      </c>
      <c r="B60" s="14">
        <f>'RTD Resistance @ Temperature'!B51</f>
        <v>204.9</v>
      </c>
      <c r="C60" s="10">
        <f t="shared" si="0"/>
        <v>4.899607051514469E-4</v>
      </c>
      <c r="D60" s="10">
        <f t="shared" si="1"/>
        <v>0.48996070515144691</v>
      </c>
      <c r="E60" s="10">
        <f t="shared" si="2"/>
        <v>100.39294848553148</v>
      </c>
      <c r="F60" s="10">
        <f t="shared" si="3"/>
        <v>1.7242480931308819</v>
      </c>
      <c r="G60" s="10">
        <f t="shared" si="4"/>
        <v>47.072687577855326</v>
      </c>
      <c r="H60" s="204">
        <f t="shared" si="9"/>
        <v>0.17242480931308818</v>
      </c>
      <c r="I60" s="204"/>
      <c r="J60" s="204">
        <f t="shared" si="10"/>
        <v>0.17212428009941974</v>
      </c>
      <c r="K60" s="204"/>
      <c r="L60" s="39">
        <f t="shared" si="5"/>
        <v>267.64939433588256</v>
      </c>
      <c r="M60" s="6">
        <f t="shared" si="6"/>
        <v>-4.410930594327656</v>
      </c>
      <c r="N60" s="39">
        <f t="shared" si="7"/>
        <v>286.3774902021496</v>
      </c>
      <c r="O60" s="42">
        <f t="shared" si="8"/>
        <v>2.2776750721962862</v>
      </c>
    </row>
    <row r="61" spans="1:15" x14ac:dyDescent="0.25">
      <c r="A61" s="12">
        <v>290</v>
      </c>
      <c r="B61" s="14">
        <f>'RTD Resistance @ Temperature'!B52</f>
        <v>208.48</v>
      </c>
      <c r="C61" s="10">
        <f t="shared" si="0"/>
        <v>4.8978888140056116E-4</v>
      </c>
      <c r="D61" s="10">
        <f t="shared" si="1"/>
        <v>0.48978888140056115</v>
      </c>
      <c r="E61" s="10">
        <f t="shared" si="2"/>
        <v>102.11118599438899</v>
      </c>
      <c r="F61" s="10">
        <f t="shared" si="3"/>
        <v>1.7182375088575128</v>
      </c>
      <c r="G61" s="10">
        <f t="shared" si="4"/>
        <v>48.790925086712839</v>
      </c>
      <c r="H61" s="204">
        <f t="shared" si="9"/>
        <v>0.17182375088575128</v>
      </c>
      <c r="I61" s="204"/>
      <c r="J61" s="204">
        <f t="shared" si="10"/>
        <v>0.17152379012210303</v>
      </c>
      <c r="K61" s="204"/>
      <c r="L61" s="39">
        <f t="shared" si="5"/>
        <v>276.68659852412605</v>
      </c>
      <c r="M61" s="6">
        <f t="shared" si="6"/>
        <v>-4.5908280951289466</v>
      </c>
      <c r="N61" s="39">
        <f t="shared" si="7"/>
        <v>296.0470501138962</v>
      </c>
      <c r="O61" s="42">
        <f t="shared" si="8"/>
        <v>2.0851896944469672</v>
      </c>
    </row>
    <row r="62" spans="1:15" x14ac:dyDescent="0.25">
      <c r="A62" s="12">
        <v>300</v>
      </c>
      <c r="B62" s="14">
        <f>'RTD Resistance @ Temperature'!B53</f>
        <v>212.05</v>
      </c>
      <c r="C62" s="10">
        <f t="shared" si="0"/>
        <v>4.896176575712027E-4</v>
      </c>
      <c r="D62" s="10">
        <f t="shared" si="1"/>
        <v>0.48961765757120268</v>
      </c>
      <c r="E62" s="10">
        <f t="shared" si="2"/>
        <v>103.82342428797354</v>
      </c>
      <c r="F62" s="10">
        <f t="shared" si="3"/>
        <v>1.7122382935845479</v>
      </c>
      <c r="G62" s="10">
        <f t="shared" si="4"/>
        <v>50.503163380297387</v>
      </c>
      <c r="H62" s="204">
        <f t="shared" si="9"/>
        <v>0.17122382935845479</v>
      </c>
      <c r="I62" s="204"/>
      <c r="J62" s="204">
        <f t="shared" si="10"/>
        <v>0.17092443448731842</v>
      </c>
      <c r="K62" s="204"/>
      <c r="L62" s="39">
        <f t="shared" si="5"/>
        <v>285.69224937174488</v>
      </c>
      <c r="M62" s="6">
        <f t="shared" si="6"/>
        <v>-4.7692502094183737</v>
      </c>
      <c r="N62" s="39">
        <f t="shared" si="7"/>
        <v>305.68284881905396</v>
      </c>
      <c r="O62" s="42">
        <f t="shared" si="8"/>
        <v>1.894282939684653</v>
      </c>
    </row>
    <row r="63" spans="1:15" x14ac:dyDescent="0.25">
      <c r="A63" s="12">
        <v>310</v>
      </c>
      <c r="B63" s="14">
        <f>'RTD Resistance @ Temperature'!B54</f>
        <v>215.61</v>
      </c>
      <c r="C63" s="10">
        <f t="shared" si="0"/>
        <v>4.8944703253158642E-4</v>
      </c>
      <c r="D63" s="10">
        <f t="shared" si="1"/>
        <v>0.48944703253158645</v>
      </c>
      <c r="E63" s="10">
        <f t="shared" si="2"/>
        <v>105.52967468413536</v>
      </c>
      <c r="F63" s="10">
        <f t="shared" si="3"/>
        <v>1.7062503961618205</v>
      </c>
      <c r="G63" s="10">
        <f t="shared" si="4"/>
        <v>52.209413776459208</v>
      </c>
      <c r="H63" s="204">
        <f t="shared" si="9"/>
        <v>0.17062503961618206</v>
      </c>
      <c r="I63" s="204"/>
      <c r="J63" s="204">
        <f t="shared" si="10"/>
        <v>0.17008681586802865</v>
      </c>
      <c r="K63" s="204"/>
      <c r="L63" s="39">
        <f t="shared" si="5"/>
        <v>294.66640640585507</v>
      </c>
      <c r="M63" s="6">
        <f t="shared" si="6"/>
        <v>-4.9463205142402993</v>
      </c>
      <c r="N63" s="39">
        <f t="shared" si="7"/>
        <v>315.28495000999959</v>
      </c>
      <c r="O63" s="42">
        <f t="shared" si="8"/>
        <v>1.7048225838708357</v>
      </c>
    </row>
    <row r="64" spans="1:15" ht="15.75" thickBot="1" x14ac:dyDescent="0.3">
      <c r="A64" s="3">
        <v>320</v>
      </c>
      <c r="B64" s="15">
        <f>'RTD Resistance @ Temperature'!B55</f>
        <v>219.15</v>
      </c>
      <c r="C64" s="11">
        <f t="shared" si="0"/>
        <v>4.8927748393946661E-4</v>
      </c>
      <c r="D64" s="11">
        <f t="shared" si="1"/>
        <v>0.48927748393946663</v>
      </c>
      <c r="E64" s="11">
        <f t="shared" si="2"/>
        <v>107.22516060533411</v>
      </c>
      <c r="F64" s="11">
        <f>E64-E63</f>
        <v>1.6954859211987525</v>
      </c>
      <c r="G64" s="11">
        <f t="shared" si="4"/>
        <v>53.90489969765796</v>
      </c>
      <c r="H64" s="212">
        <f>F64/(A64-A63)</f>
        <v>0.16954859211987525</v>
      </c>
      <c r="I64" s="212"/>
      <c r="J64" s="212">
        <f>(E64-E63) / (A64-A63)</f>
        <v>0.16954859211987525</v>
      </c>
      <c r="K64" s="212"/>
      <c r="L64" s="43">
        <f t="shared" si="5"/>
        <v>303.58394684434393</v>
      </c>
      <c r="M64" s="7">
        <f t="shared" si="6"/>
        <v>-5.1300166111425227</v>
      </c>
      <c r="N64" s="43">
        <f t="shared" si="7"/>
        <v>324.82647300087837</v>
      </c>
      <c r="O64" s="44">
        <f t="shared" si="8"/>
        <v>1.5082728127744893</v>
      </c>
    </row>
  </sheetData>
  <sheetProtection algorithmName="SHA-512" hashValue="s1uIOKxlnuek9wUh3E3vDa6UrFkvIFg/x6R4WwglvkJbqL/1GZ+9xn9LtZZa7H561BvlHJBjFbj9AUOEA1qynw==" saltValue="2ijrlySYHsmjCnzHM3Mt+g==" spinCount="100000" sheet="1" objects="1" scenarios="1"/>
  <mergeCells count="124">
    <mergeCell ref="M10:M11"/>
    <mergeCell ref="L10:L11"/>
    <mergeCell ref="O10:O11"/>
    <mergeCell ref="L1:N1"/>
    <mergeCell ref="H61:I61"/>
    <mergeCell ref="H62:I62"/>
    <mergeCell ref="H63:I63"/>
    <mergeCell ref="H64:I64"/>
    <mergeCell ref="G10:G11"/>
    <mergeCell ref="H55:I55"/>
    <mergeCell ref="H56:I56"/>
    <mergeCell ref="H57:I57"/>
    <mergeCell ref="H58:I58"/>
    <mergeCell ref="H59:I59"/>
    <mergeCell ref="H60:I60"/>
    <mergeCell ref="H49:I49"/>
    <mergeCell ref="H50:I50"/>
    <mergeCell ref="H51:I51"/>
    <mergeCell ref="H52:I52"/>
    <mergeCell ref="H53:I53"/>
    <mergeCell ref="H54:I54"/>
    <mergeCell ref="H43:I43"/>
    <mergeCell ref="H44:I44"/>
    <mergeCell ref="H45:I45"/>
    <mergeCell ref="H46:I46"/>
    <mergeCell ref="H47:I47"/>
    <mergeCell ref="H48:I48"/>
    <mergeCell ref="H37:I37"/>
    <mergeCell ref="H38:I38"/>
    <mergeCell ref="H39:I39"/>
    <mergeCell ref="H40:I40"/>
    <mergeCell ref="H41:I41"/>
    <mergeCell ref="H42:I42"/>
    <mergeCell ref="H31:I31"/>
    <mergeCell ref="H32:I32"/>
    <mergeCell ref="H33:I33"/>
    <mergeCell ref="H34:I34"/>
    <mergeCell ref="H35:I35"/>
    <mergeCell ref="H36:I36"/>
    <mergeCell ref="H25:I25"/>
    <mergeCell ref="H26:I26"/>
    <mergeCell ref="H27:I27"/>
    <mergeCell ref="H28:I28"/>
    <mergeCell ref="H29:I29"/>
    <mergeCell ref="H30:I30"/>
    <mergeCell ref="H19:I19"/>
    <mergeCell ref="H20:I20"/>
    <mergeCell ref="H21:I21"/>
    <mergeCell ref="H22:I22"/>
    <mergeCell ref="H23:I23"/>
    <mergeCell ref="H24:I24"/>
    <mergeCell ref="H13:I13"/>
    <mergeCell ref="H14:I14"/>
    <mergeCell ref="H15:I15"/>
    <mergeCell ref="H16:I16"/>
    <mergeCell ref="H17:I17"/>
    <mergeCell ref="H18:I18"/>
    <mergeCell ref="J61:K61"/>
    <mergeCell ref="J62:K62"/>
    <mergeCell ref="J63:K63"/>
    <mergeCell ref="J64:K64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J16:K16"/>
    <mergeCell ref="J17:K17"/>
    <mergeCell ref="J18:K18"/>
    <mergeCell ref="E10:E11"/>
    <mergeCell ref="F10:F11"/>
    <mergeCell ref="J10:K11"/>
    <mergeCell ref="J12:K12"/>
    <mergeCell ref="H10:I11"/>
    <mergeCell ref="H12:I12"/>
    <mergeCell ref="B10:B11"/>
    <mergeCell ref="C10:C11"/>
    <mergeCell ref="D10:D11"/>
    <mergeCell ref="A1:K1"/>
    <mergeCell ref="F2:F8"/>
    <mergeCell ref="H5:I5"/>
    <mergeCell ref="H6:I6"/>
    <mergeCell ref="H7:I7"/>
    <mergeCell ref="A10:A1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C04CC-1678-4352-8E0D-726273BA753A}">
  <dimension ref="A1:P64"/>
  <sheetViews>
    <sheetView workbookViewId="0">
      <selection activeCell="L34" sqref="L34"/>
    </sheetView>
  </sheetViews>
  <sheetFormatPr defaultRowHeight="15" x14ac:dyDescent="0.25"/>
  <cols>
    <col min="3" max="3" width="10.5703125" customWidth="1"/>
    <col min="4" max="4" width="10.5703125" bestFit="1" customWidth="1"/>
    <col min="5" max="5" width="12.5703125" bestFit="1" customWidth="1"/>
    <col min="6" max="6" width="14.42578125" customWidth="1"/>
    <col min="7" max="7" width="13.7109375" customWidth="1"/>
    <col min="12" max="12" width="18.7109375" customWidth="1"/>
    <col min="13" max="13" width="18.140625" customWidth="1"/>
    <col min="14" max="14" width="18.42578125" customWidth="1"/>
    <col min="15" max="15" width="18.28515625" customWidth="1"/>
  </cols>
  <sheetData>
    <row r="1" spans="1:15" ht="15.75" thickBot="1" x14ac:dyDescent="0.3">
      <c r="A1" s="181" t="s">
        <v>6</v>
      </c>
      <c r="B1" s="182"/>
      <c r="C1" s="182"/>
      <c r="D1" s="182"/>
      <c r="E1" s="182"/>
      <c r="F1" s="182"/>
      <c r="G1" s="182"/>
      <c r="H1" s="182"/>
      <c r="I1" s="182"/>
      <c r="J1" s="182"/>
      <c r="K1" s="183"/>
      <c r="L1" s="181" t="s">
        <v>55</v>
      </c>
      <c r="M1" s="182"/>
      <c r="N1" s="183"/>
    </row>
    <row r="2" spans="1:15" ht="18" x14ac:dyDescent="0.35">
      <c r="A2" s="23" t="s">
        <v>31</v>
      </c>
      <c r="F2" s="198" t="s">
        <v>16</v>
      </c>
      <c r="G2" s="1" t="s">
        <v>9</v>
      </c>
      <c r="J2">
        <f>0.0005*500</f>
        <v>0.25</v>
      </c>
      <c r="K2" s="24" t="s">
        <v>2</v>
      </c>
      <c r="L2" s="33" t="s">
        <v>56</v>
      </c>
      <c r="M2" s="34">
        <f>E32</f>
        <v>238.09523809523807</v>
      </c>
      <c r="N2" s="35" t="s">
        <v>20</v>
      </c>
    </row>
    <row r="3" spans="1:15" ht="18" x14ac:dyDescent="0.35">
      <c r="A3" s="25"/>
      <c r="B3" s="1" t="s">
        <v>32</v>
      </c>
      <c r="F3" s="199"/>
      <c r="G3" s="1" t="s">
        <v>10</v>
      </c>
      <c r="J3">
        <f>$D$4-$J$2</f>
        <v>4.75</v>
      </c>
      <c r="K3" s="24" t="s">
        <v>2</v>
      </c>
      <c r="L3" s="33" t="s">
        <v>27</v>
      </c>
      <c r="M3" s="34">
        <f>$E$34</f>
        <v>255.6943528529882</v>
      </c>
      <c r="N3" s="35" t="s">
        <v>20</v>
      </c>
    </row>
    <row r="4" spans="1:15" ht="18" x14ac:dyDescent="0.35">
      <c r="A4" s="25"/>
      <c r="B4" s="1"/>
      <c r="C4" s="1" t="s">
        <v>3</v>
      </c>
      <c r="D4">
        <f>'RTD Data'!$E$3</f>
        <v>5</v>
      </c>
      <c r="E4" s="20" t="s">
        <v>2</v>
      </c>
      <c r="F4" s="199"/>
      <c r="G4" s="21" t="s">
        <v>11</v>
      </c>
      <c r="K4" s="26"/>
      <c r="L4" s="33" t="s">
        <v>26</v>
      </c>
      <c r="M4" s="34">
        <f>$J$34</f>
        <v>0.87445986091519501</v>
      </c>
      <c r="N4" s="35" t="s">
        <v>23</v>
      </c>
    </row>
    <row r="5" spans="1:15" ht="18" x14ac:dyDescent="0.35">
      <c r="A5" s="25"/>
      <c r="C5" t="s">
        <v>7</v>
      </c>
      <c r="D5" s="22">
        <f>'RTD Data'!$F$8</f>
        <v>5000</v>
      </c>
      <c r="E5" s="20" t="s">
        <v>0</v>
      </c>
      <c r="F5" s="199"/>
      <c r="G5" s="1"/>
      <c r="H5" s="201" t="s">
        <v>12</v>
      </c>
      <c r="I5" s="201"/>
      <c r="J5">
        <f>$J$3/2</f>
        <v>2.375</v>
      </c>
      <c r="K5" s="24" t="s">
        <v>2</v>
      </c>
      <c r="L5" s="33" t="s">
        <v>42</v>
      </c>
      <c r="M5" s="36">
        <f>'RTD Data'!S4</f>
        <v>200</v>
      </c>
      <c r="N5" s="37" t="s">
        <v>21</v>
      </c>
    </row>
    <row r="6" spans="1:15" ht="18" x14ac:dyDescent="0.35">
      <c r="A6" s="25"/>
      <c r="C6" t="s">
        <v>8</v>
      </c>
      <c r="D6" s="22">
        <f>'RTD Data'!$F$7</f>
        <v>5000</v>
      </c>
      <c r="E6" s="20" t="s">
        <v>0</v>
      </c>
      <c r="F6" s="199"/>
      <c r="H6" s="202" t="s">
        <v>13</v>
      </c>
      <c r="I6" s="202"/>
      <c r="J6" s="22">
        <f>J5/0.0005</f>
        <v>4750</v>
      </c>
      <c r="K6" s="24" t="s">
        <v>0</v>
      </c>
      <c r="L6" s="33" t="s">
        <v>46</v>
      </c>
      <c r="M6" s="34">
        <f>VLOOKUP(M5,'PT500 Tables'!12:64,5)</f>
        <v>404.1160736444441</v>
      </c>
      <c r="N6" s="35" t="s">
        <v>20</v>
      </c>
    </row>
    <row r="7" spans="1:15" ht="18" x14ac:dyDescent="0.35">
      <c r="A7" s="23" t="s">
        <v>39</v>
      </c>
      <c r="D7" s="22"/>
      <c r="E7" s="20"/>
      <c r="F7" s="199"/>
      <c r="H7" s="202" t="s">
        <v>14</v>
      </c>
      <c r="I7" s="202"/>
      <c r="J7" s="22">
        <f>J6</f>
        <v>4750</v>
      </c>
      <c r="K7" s="24" t="s">
        <v>0</v>
      </c>
      <c r="L7" s="18" t="s">
        <v>43</v>
      </c>
      <c r="M7" s="34">
        <f>VLOOKUP(M5,12:64,10)</f>
        <v>0.77730445379785351</v>
      </c>
      <c r="N7" s="35" t="s">
        <v>23</v>
      </c>
    </row>
    <row r="8" spans="1:15" ht="18.75" thickBot="1" x14ac:dyDescent="0.4">
      <c r="A8" s="27" t="s">
        <v>34</v>
      </c>
      <c r="B8" s="28"/>
      <c r="C8" s="29"/>
      <c r="D8" s="30"/>
      <c r="E8" s="31"/>
      <c r="F8" s="200"/>
      <c r="G8" s="29"/>
      <c r="H8" s="29"/>
      <c r="I8" s="29"/>
      <c r="J8" s="29"/>
      <c r="K8" s="32"/>
      <c r="L8" s="38"/>
      <c r="M8" s="29"/>
      <c r="N8" s="32"/>
    </row>
    <row r="9" spans="1:15" ht="15.75" thickBot="1" x14ac:dyDescent="0.3"/>
    <row r="10" spans="1:15" ht="15" customHeight="1" x14ac:dyDescent="0.25">
      <c r="A10" s="179" t="s">
        <v>1</v>
      </c>
      <c r="B10" s="179" t="s">
        <v>28</v>
      </c>
      <c r="C10" s="196" t="s">
        <v>29</v>
      </c>
      <c r="D10" s="196" t="s">
        <v>30</v>
      </c>
      <c r="E10" s="196" t="s">
        <v>24</v>
      </c>
      <c r="F10" s="196" t="s">
        <v>37</v>
      </c>
      <c r="G10" s="196" t="s">
        <v>38</v>
      </c>
      <c r="H10" s="205" t="s">
        <v>33</v>
      </c>
      <c r="I10" s="206"/>
      <c r="J10" s="205" t="s">
        <v>35</v>
      </c>
      <c r="K10" s="206"/>
      <c r="L10" s="205" t="s">
        <v>48</v>
      </c>
      <c r="M10" s="196" t="s">
        <v>40</v>
      </c>
      <c r="N10" s="19"/>
      <c r="O10" s="196" t="s">
        <v>49</v>
      </c>
    </row>
    <row r="11" spans="1:15" ht="18.75" thickBot="1" x14ac:dyDescent="0.4">
      <c r="A11" s="203"/>
      <c r="B11" s="180"/>
      <c r="C11" s="197"/>
      <c r="D11" s="197"/>
      <c r="E11" s="197"/>
      <c r="F11" s="197"/>
      <c r="G11" s="197"/>
      <c r="H11" s="207"/>
      <c r="I11" s="208"/>
      <c r="J11" s="207"/>
      <c r="K11" s="208"/>
      <c r="L11" s="207"/>
      <c r="M11" s="197"/>
      <c r="N11" s="16" t="s">
        <v>41</v>
      </c>
      <c r="O11" s="197"/>
    </row>
    <row r="12" spans="1:15" x14ac:dyDescent="0.25">
      <c r="A12" s="4">
        <v>-200</v>
      </c>
      <c r="B12" s="17">
        <f>'RTD Resistance @ Temperature'!G3</f>
        <v>92.6</v>
      </c>
      <c r="C12" s="9">
        <f>$D$4 / ($D$5 + $D$6 + B12)</f>
        <v>4.9541248043120706E-4</v>
      </c>
      <c r="D12" s="9">
        <f>C12*1000</f>
        <v>0.49541248043120706</v>
      </c>
      <c r="E12" s="9">
        <f>B12*D12</f>
        <v>45.875195687929768</v>
      </c>
      <c r="F12" s="9">
        <f>E13-E12</f>
        <v>10.555646251333542</v>
      </c>
      <c r="G12" s="9">
        <f>E12-$E$34</f>
        <v>-209.81915716505844</v>
      </c>
      <c r="H12" s="209">
        <f>F12/(A13-A12)</f>
        <v>1.0555646251333541</v>
      </c>
      <c r="I12" s="209"/>
      <c r="J12" s="209">
        <f>(E13-E12)/(A13-A12)</f>
        <v>1.0555646251333541</v>
      </c>
      <c r="K12" s="209"/>
      <c r="L12" s="40">
        <f>($E12-$M$2)/$M$4</f>
        <v>-219.81574112062049</v>
      </c>
      <c r="M12" s="8">
        <f>(L12-$A12)/$A12 * 100</f>
        <v>9.9078705603102435</v>
      </c>
      <c r="N12" s="40">
        <f>($E12-$M$2)/$M$7</f>
        <v>-247.29054551036603</v>
      </c>
      <c r="O12" s="41">
        <f>(N12-$A12)/$A12 * 100</f>
        <v>23.645272755183015</v>
      </c>
    </row>
    <row r="13" spans="1:15" x14ac:dyDescent="0.25">
      <c r="A13" s="2">
        <v>-190</v>
      </c>
      <c r="B13" s="14">
        <f>'RTD Resistance @ Temperature'!G4</f>
        <v>114.14999999999999</v>
      </c>
      <c r="C13" s="10">
        <f t="shared" ref="C13:C64" si="0">$D$4 / ($D$5 + $D$6 + B13)</f>
        <v>4.9435691580607371E-4</v>
      </c>
      <c r="D13" s="10">
        <f t="shared" ref="D13:D64" si="1">C13*1000</f>
        <v>0.49435691580607372</v>
      </c>
      <c r="E13" s="10">
        <f t="shared" ref="E13:E64" si="2">B13*D13</f>
        <v>56.43084193926331</v>
      </c>
      <c r="F13" s="10">
        <f t="shared" ref="F13:F63" si="3">E13-E12</f>
        <v>10.555646251333542</v>
      </c>
      <c r="G13" s="10">
        <f t="shared" ref="G13:G64" si="4">E13-$E$34</f>
        <v>-199.2635109137249</v>
      </c>
      <c r="H13" s="204">
        <f>F13/(A13-A12)</f>
        <v>1.0555646251333541</v>
      </c>
      <c r="I13" s="204"/>
      <c r="J13" s="204">
        <f>(E14-E12)/(A14-A12)</f>
        <v>1.0484532292683528</v>
      </c>
      <c r="K13" s="204"/>
      <c r="L13" s="39">
        <f t="shared" ref="L13:L64" si="5">($E13-$M$2)/$M$4</f>
        <v>-207.74469392551404</v>
      </c>
      <c r="M13" s="6">
        <f t="shared" ref="M13:M64" si="6">(L13-$A13)/$A13 * 100</f>
        <v>9.339312592375812</v>
      </c>
      <c r="N13" s="39">
        <f t="shared" ref="N13:N64" si="7">($E13-$M$2)/$M$7</f>
        <v>-233.7107362094423</v>
      </c>
      <c r="O13" s="42">
        <f t="shared" ref="O13:O64" si="8">(N13-$A13)/$A13 * 100</f>
        <v>23.00565063654858</v>
      </c>
    </row>
    <row r="14" spans="1:15" x14ac:dyDescent="0.25">
      <c r="A14" s="2">
        <v>-180</v>
      </c>
      <c r="B14" s="14">
        <f>'RTD Resistance @ Temperature'!G5</f>
        <v>135.5</v>
      </c>
      <c r="C14" s="10">
        <f t="shared" si="0"/>
        <v>4.9331557397267031E-4</v>
      </c>
      <c r="D14" s="10">
        <f t="shared" si="1"/>
        <v>0.49331557397267028</v>
      </c>
      <c r="E14" s="10">
        <f t="shared" si="2"/>
        <v>66.844260273296825</v>
      </c>
      <c r="F14" s="10">
        <f t="shared" si="3"/>
        <v>10.413418334033516</v>
      </c>
      <c r="G14" s="10">
        <f t="shared" si="4"/>
        <v>-188.85009257969136</v>
      </c>
      <c r="H14" s="204">
        <f t="shared" ref="H14:H63" si="9">F14/(A14-A13)</f>
        <v>1.0413418334033515</v>
      </c>
      <c r="I14" s="204"/>
      <c r="J14" s="204">
        <f t="shared" ref="J14:J63" si="10">(E15-E13)/(A15-A13)</f>
        <v>1.0355177748455904</v>
      </c>
      <c r="K14" s="204"/>
      <c r="L14" s="39">
        <f t="shared" si="5"/>
        <v>-195.83629332364421</v>
      </c>
      <c r="M14" s="6">
        <f t="shared" si="6"/>
        <v>8.797940735357896</v>
      </c>
      <c r="N14" s="39">
        <f t="shared" si="7"/>
        <v>-220.31390272527236</v>
      </c>
      <c r="O14" s="42">
        <f t="shared" si="8"/>
        <v>22.39661262515131</v>
      </c>
    </row>
    <row r="15" spans="1:15" x14ac:dyDescent="0.25">
      <c r="A15" s="2">
        <v>-170</v>
      </c>
      <c r="B15" s="14">
        <f>'RTD Resistance @ Temperature'!G6</f>
        <v>156.69999999999999</v>
      </c>
      <c r="C15" s="10">
        <f t="shared" si="0"/>
        <v>4.922858802563824E-4</v>
      </c>
      <c r="D15" s="10">
        <f t="shared" si="1"/>
        <v>0.49228588025638242</v>
      </c>
      <c r="E15" s="10">
        <f t="shared" si="2"/>
        <v>77.141197436175119</v>
      </c>
      <c r="F15" s="10">
        <f t="shared" si="3"/>
        <v>10.296937162878294</v>
      </c>
      <c r="G15" s="10">
        <f t="shared" si="4"/>
        <v>-178.55315541681307</v>
      </c>
      <c r="H15" s="204">
        <f t="shared" si="9"/>
        <v>1.0296937162878295</v>
      </c>
      <c r="I15" s="204"/>
      <c r="J15" s="204">
        <f t="shared" si="10"/>
        <v>1.0227220895510123</v>
      </c>
      <c r="K15" s="204"/>
      <c r="L15" s="39">
        <f t="shared" si="5"/>
        <v>-184.06109628703962</v>
      </c>
      <c r="M15" s="6">
        <f t="shared" si="6"/>
        <v>8.2712331100233047</v>
      </c>
      <c r="N15" s="39">
        <f t="shared" si="7"/>
        <v>-207.06692194114305</v>
      </c>
      <c r="O15" s="42">
        <f t="shared" si="8"/>
        <v>21.80407173008415</v>
      </c>
    </row>
    <row r="16" spans="1:15" x14ac:dyDescent="0.25">
      <c r="A16" s="2">
        <v>-160</v>
      </c>
      <c r="B16" s="14">
        <f>'RTD Resistance @ Temperature'!G7</f>
        <v>177.7</v>
      </c>
      <c r="C16" s="10">
        <f t="shared" si="0"/>
        <v>4.9127012979356829E-4</v>
      </c>
      <c r="D16" s="10">
        <f t="shared" si="1"/>
        <v>0.49127012979356827</v>
      </c>
      <c r="E16" s="10">
        <f t="shared" si="2"/>
        <v>87.298702064317069</v>
      </c>
      <c r="F16" s="10">
        <f t="shared" si="3"/>
        <v>10.15750462814195</v>
      </c>
      <c r="G16" s="10">
        <f t="shared" si="4"/>
        <v>-168.39565078867113</v>
      </c>
      <c r="H16" s="204">
        <f t="shared" si="9"/>
        <v>1.0157504628141951</v>
      </c>
      <c r="I16" s="204"/>
      <c r="J16" s="204">
        <f t="shared" si="10"/>
        <v>1.0112553871483556</v>
      </c>
      <c r="K16" s="204"/>
      <c r="L16" s="39">
        <f t="shared" si="5"/>
        <v>-172.44534914741527</v>
      </c>
      <c r="M16" s="6">
        <f t="shared" si="6"/>
        <v>7.7783432171345455</v>
      </c>
      <c r="N16" s="39">
        <f t="shared" si="7"/>
        <v>-193.99932072193849</v>
      </c>
      <c r="O16" s="42">
        <f t="shared" si="8"/>
        <v>21.249575451211555</v>
      </c>
    </row>
    <row r="17" spans="1:16" x14ac:dyDescent="0.25">
      <c r="A17" s="2">
        <v>-150</v>
      </c>
      <c r="B17" s="14">
        <f>'RTD Resistance @ Temperature'!G8</f>
        <v>198.6</v>
      </c>
      <c r="C17" s="10">
        <f t="shared" si="0"/>
        <v>4.9026336948208577E-4</v>
      </c>
      <c r="D17" s="10">
        <f t="shared" si="1"/>
        <v>0.49026336948208576</v>
      </c>
      <c r="E17" s="10">
        <f t="shared" si="2"/>
        <v>97.36630517914223</v>
      </c>
      <c r="F17" s="10">
        <f t="shared" si="3"/>
        <v>10.067603114825161</v>
      </c>
      <c r="G17" s="10">
        <f t="shared" si="4"/>
        <v>-158.32804767384596</v>
      </c>
      <c r="H17" s="204">
        <f t="shared" si="9"/>
        <v>1.0067603114825161</v>
      </c>
      <c r="I17" s="204"/>
      <c r="J17" s="204">
        <f t="shared" si="10"/>
        <v>1.002307592050014</v>
      </c>
      <c r="K17" s="204"/>
      <c r="L17" s="39">
        <f t="shared" si="5"/>
        <v>-160.93241005803435</v>
      </c>
      <c r="M17" s="6">
        <f t="shared" si="6"/>
        <v>7.2882733720228989</v>
      </c>
      <c r="N17" s="39">
        <f t="shared" si="7"/>
        <v>-181.04737754750334</v>
      </c>
      <c r="O17" s="42">
        <f t="shared" si="8"/>
        <v>20.698251698335561</v>
      </c>
    </row>
    <row r="18" spans="1:16" x14ac:dyDescent="0.25">
      <c r="A18" s="2">
        <v>-140</v>
      </c>
      <c r="B18" s="14">
        <f>'RTD Resistance @ Temperature'!G9</f>
        <v>219.4</v>
      </c>
      <c r="C18" s="10">
        <f t="shared" si="0"/>
        <v>4.8926551460946833E-4</v>
      </c>
      <c r="D18" s="10">
        <f t="shared" si="1"/>
        <v>0.48926551460946832</v>
      </c>
      <c r="E18" s="10">
        <f t="shared" si="2"/>
        <v>107.34485390531735</v>
      </c>
      <c r="F18" s="10">
        <f t="shared" si="3"/>
        <v>9.97854872617512</v>
      </c>
      <c r="G18" s="10">
        <f t="shared" si="4"/>
        <v>-148.34949894767084</v>
      </c>
      <c r="H18" s="204">
        <f t="shared" si="9"/>
        <v>0.99785487261751205</v>
      </c>
      <c r="I18" s="204"/>
      <c r="J18" s="204">
        <f t="shared" si="10"/>
        <v>0.99105974104288852</v>
      </c>
      <c r="K18" s="204"/>
      <c r="L18" s="39">
        <f t="shared" si="5"/>
        <v>-149.52131027841529</v>
      </c>
      <c r="M18" s="6">
        <f t="shared" si="6"/>
        <v>6.8009359131537757</v>
      </c>
      <c r="N18" s="39">
        <f t="shared" si="7"/>
        <v>-168.21000259432941</v>
      </c>
      <c r="O18" s="42">
        <f t="shared" si="8"/>
        <v>20.150001853092437</v>
      </c>
    </row>
    <row r="19" spans="1:16" x14ac:dyDescent="0.25">
      <c r="A19" s="2">
        <v>-130</v>
      </c>
      <c r="B19" s="14">
        <f>'RTD Resistance @ Temperature'!G10</f>
        <v>240</v>
      </c>
      <c r="C19" s="10">
        <f t="shared" si="0"/>
        <v>4.8828125E-4</v>
      </c>
      <c r="D19" s="10">
        <f t="shared" si="1"/>
        <v>0.48828125</v>
      </c>
      <c r="E19" s="10">
        <f t="shared" si="2"/>
        <v>117.1875</v>
      </c>
      <c r="F19" s="10">
        <f t="shared" si="3"/>
        <v>9.8426460946826495</v>
      </c>
      <c r="G19" s="10">
        <f t="shared" si="4"/>
        <v>-138.5068528529882</v>
      </c>
      <c r="H19" s="204">
        <f t="shared" si="9"/>
        <v>0.98426460946826499</v>
      </c>
      <c r="I19" s="204"/>
      <c r="J19" s="204">
        <f t="shared" si="10"/>
        <v>0.98110120442761894</v>
      </c>
      <c r="K19" s="204"/>
      <c r="L19" s="39">
        <f t="shared" si="5"/>
        <v>-138.2656237287988</v>
      </c>
      <c r="M19" s="6">
        <f t="shared" si="6"/>
        <v>6.3581720990760013</v>
      </c>
      <c r="N19" s="39">
        <f t="shared" si="7"/>
        <v>-155.54746599545595</v>
      </c>
      <c r="O19" s="42">
        <f t="shared" si="8"/>
        <v>19.651896919581503</v>
      </c>
    </row>
    <row r="20" spans="1:16" x14ac:dyDescent="0.25">
      <c r="A20" s="2">
        <v>-120</v>
      </c>
      <c r="B20" s="14">
        <f>'RTD Resistance @ Temperature'!G11</f>
        <v>260.55</v>
      </c>
      <c r="C20" s="10">
        <f t="shared" si="0"/>
        <v>4.8730331220061304E-4</v>
      </c>
      <c r="D20" s="10">
        <f t="shared" si="1"/>
        <v>0.48730331220061301</v>
      </c>
      <c r="E20" s="10">
        <f t="shared" si="2"/>
        <v>126.96687799386973</v>
      </c>
      <c r="F20" s="10">
        <f t="shared" si="3"/>
        <v>9.7793779938697298</v>
      </c>
      <c r="G20" s="10">
        <f t="shared" si="4"/>
        <v>-128.72747485911847</v>
      </c>
      <c r="H20" s="204">
        <f t="shared" si="9"/>
        <v>0.97793779938697301</v>
      </c>
      <c r="I20" s="204"/>
      <c r="J20" s="204">
        <f t="shared" si="10"/>
        <v>0.97243528990511552</v>
      </c>
      <c r="K20" s="204"/>
      <c r="L20" s="39">
        <f t="shared" si="5"/>
        <v>-127.08228824255383</v>
      </c>
      <c r="M20" s="6">
        <f t="shared" si="6"/>
        <v>5.9019068687948577</v>
      </c>
      <c r="N20" s="39">
        <f t="shared" si="7"/>
        <v>-142.96632363085428</v>
      </c>
      <c r="O20" s="42">
        <f t="shared" si="8"/>
        <v>19.138603025711898</v>
      </c>
    </row>
    <row r="21" spans="1:16" x14ac:dyDescent="0.25">
      <c r="A21" s="2">
        <v>-110</v>
      </c>
      <c r="B21" s="14">
        <f>'RTD Resistance @ Temperature'!G12</f>
        <v>280.95</v>
      </c>
      <c r="C21" s="10">
        <f t="shared" si="0"/>
        <v>4.8633637942018974E-4</v>
      </c>
      <c r="D21" s="10">
        <f t="shared" si="1"/>
        <v>0.48633637942018976</v>
      </c>
      <c r="E21" s="10">
        <f t="shared" si="2"/>
        <v>136.63620579810231</v>
      </c>
      <c r="F21" s="10">
        <f t="shared" si="3"/>
        <v>9.6693278042325801</v>
      </c>
      <c r="G21" s="10">
        <f t="shared" si="4"/>
        <v>-119.05814705488589</v>
      </c>
      <c r="H21" s="204">
        <f t="shared" si="9"/>
        <v>0.96693278042325803</v>
      </c>
      <c r="I21" s="204"/>
      <c r="J21" s="204">
        <f t="shared" si="10"/>
        <v>0.96383999942604248</v>
      </c>
      <c r="K21" s="204"/>
      <c r="L21" s="39">
        <f t="shared" si="5"/>
        <v>-116.02480208862926</v>
      </c>
      <c r="M21" s="6">
        <f t="shared" si="6"/>
        <v>5.4770928078447803</v>
      </c>
      <c r="N21" s="39">
        <f t="shared" si="7"/>
        <v>-130.52676052660479</v>
      </c>
      <c r="O21" s="42">
        <f t="shared" si="8"/>
        <v>18.660691387822538</v>
      </c>
    </row>
    <row r="22" spans="1:16" x14ac:dyDescent="0.25">
      <c r="A22" s="2">
        <v>-100</v>
      </c>
      <c r="B22" s="14">
        <f>'RTD Resistance @ Temperature'!G13</f>
        <v>301.3</v>
      </c>
      <c r="C22" s="10">
        <f t="shared" si="0"/>
        <v>4.8537563220176096E-4</v>
      </c>
      <c r="D22" s="10">
        <f t="shared" si="1"/>
        <v>0.48537563220176094</v>
      </c>
      <c r="E22" s="10">
        <f t="shared" si="2"/>
        <v>146.24367798239058</v>
      </c>
      <c r="F22" s="10">
        <f t="shared" si="3"/>
        <v>9.6074721842882695</v>
      </c>
      <c r="G22" s="10">
        <f t="shared" si="4"/>
        <v>-109.45067487059762</v>
      </c>
      <c r="H22" s="204">
        <f t="shared" si="9"/>
        <v>0.96074721842882693</v>
      </c>
      <c r="I22" s="204"/>
      <c r="J22" s="204">
        <f t="shared" si="10"/>
        <v>0.95533305166345461</v>
      </c>
      <c r="K22" s="204"/>
      <c r="L22" s="39">
        <f t="shared" si="5"/>
        <v>-105.03805173712284</v>
      </c>
      <c r="M22" s="6">
        <f t="shared" si="6"/>
        <v>5.0380517371228422</v>
      </c>
      <c r="N22" s="39">
        <f t="shared" si="7"/>
        <v>-118.16677450395066</v>
      </c>
      <c r="O22" s="42">
        <f t="shared" si="8"/>
        <v>18.166774503950663</v>
      </c>
    </row>
    <row r="23" spans="1:16" x14ac:dyDescent="0.25">
      <c r="A23" s="2">
        <v>-90</v>
      </c>
      <c r="B23" s="14">
        <f>'RTD Resistance @ Temperature'!G14</f>
        <v>321.5</v>
      </c>
      <c r="C23" s="10">
        <f t="shared" si="0"/>
        <v>4.8442571331686285E-4</v>
      </c>
      <c r="D23" s="10">
        <f t="shared" si="1"/>
        <v>0.48442571331686285</v>
      </c>
      <c r="E23" s="10">
        <f t="shared" si="2"/>
        <v>155.7428668313714</v>
      </c>
      <c r="F23" s="10">
        <f t="shared" si="3"/>
        <v>9.4991888489808218</v>
      </c>
      <c r="G23" s="10">
        <f t="shared" si="4"/>
        <v>-99.951486021616802</v>
      </c>
      <c r="H23" s="204">
        <f t="shared" si="9"/>
        <v>0.94991888489808218</v>
      </c>
      <c r="I23" s="204"/>
      <c r="J23" s="204">
        <f t="shared" si="10"/>
        <v>0.9468946811843878</v>
      </c>
      <c r="K23" s="204"/>
      <c r="L23" s="39">
        <f t="shared" si="5"/>
        <v>-94.175130208581635</v>
      </c>
      <c r="M23" s="6">
        <f t="shared" si="6"/>
        <v>4.6390335650907053</v>
      </c>
      <c r="N23" s="39">
        <f t="shared" si="7"/>
        <v>-105.94609468850838</v>
      </c>
      <c r="O23" s="42">
        <f t="shared" si="8"/>
        <v>17.717882987231533</v>
      </c>
    </row>
    <row r="24" spans="1:16" x14ac:dyDescent="0.25">
      <c r="A24" s="2">
        <v>-80</v>
      </c>
      <c r="B24" s="14">
        <f>'RTD Resistance @ Temperature'!G15</f>
        <v>341.65</v>
      </c>
      <c r="C24" s="10">
        <f t="shared" si="0"/>
        <v>4.8348184283939221E-4</v>
      </c>
      <c r="D24" s="10">
        <f t="shared" si="1"/>
        <v>0.48348184283939222</v>
      </c>
      <c r="E24" s="10">
        <f t="shared" si="2"/>
        <v>165.18157160607834</v>
      </c>
      <c r="F24" s="10">
        <f t="shared" si="3"/>
        <v>9.4387047747069346</v>
      </c>
      <c r="G24" s="10">
        <f t="shared" si="4"/>
        <v>-90.512781246909867</v>
      </c>
      <c r="H24" s="204">
        <f t="shared" si="9"/>
        <v>0.94387047747069341</v>
      </c>
      <c r="I24" s="204"/>
      <c r="J24" s="204">
        <f t="shared" si="10"/>
        <v>0.93854223939585069</v>
      </c>
      <c r="K24" s="204"/>
      <c r="L24" s="39">
        <f t="shared" si="5"/>
        <v>-83.381376033485992</v>
      </c>
      <c r="M24" s="6">
        <f t="shared" si="6"/>
        <v>4.2267200418574902</v>
      </c>
      <c r="N24" s="39">
        <f t="shared" si="7"/>
        <v>-93.803227465002706</v>
      </c>
      <c r="O24" s="42">
        <f t="shared" si="8"/>
        <v>17.254034331253383</v>
      </c>
    </row>
    <row r="25" spans="1:16" x14ac:dyDescent="0.25">
      <c r="A25" s="2">
        <v>-70</v>
      </c>
      <c r="B25" s="14">
        <f>'RTD Resistance @ Temperature'!G16</f>
        <v>361.65</v>
      </c>
      <c r="C25" s="10">
        <f t="shared" si="0"/>
        <v>4.8254862883807115E-4</v>
      </c>
      <c r="D25" s="10">
        <f t="shared" si="1"/>
        <v>0.48254862883807115</v>
      </c>
      <c r="E25" s="10">
        <f t="shared" si="2"/>
        <v>174.51371161928842</v>
      </c>
      <c r="F25" s="10">
        <f t="shared" si="3"/>
        <v>9.3321400132100791</v>
      </c>
      <c r="G25" s="10">
        <f t="shared" si="4"/>
        <v>-81.180641233699788</v>
      </c>
      <c r="H25" s="204">
        <f t="shared" si="9"/>
        <v>0.93321400132100796</v>
      </c>
      <c r="I25" s="204"/>
      <c r="J25" s="204">
        <f t="shared" si="10"/>
        <v>0.9314161869055354</v>
      </c>
      <c r="K25" s="204"/>
      <c r="L25" s="39">
        <f t="shared" si="5"/>
        <v>-72.709485383818873</v>
      </c>
      <c r="M25" s="6">
        <f t="shared" si="6"/>
        <v>3.8706934054555324</v>
      </c>
      <c r="N25" s="39">
        <f t="shared" si="7"/>
        <v>-81.797455508320979</v>
      </c>
      <c r="O25" s="42">
        <f t="shared" si="8"/>
        <v>16.853507869029972</v>
      </c>
    </row>
    <row r="26" spans="1:16" x14ac:dyDescent="0.25">
      <c r="A26" s="2">
        <v>-60</v>
      </c>
      <c r="B26" s="14">
        <f>'RTD Resistance @ Temperature'!G17</f>
        <v>381.65</v>
      </c>
      <c r="C26" s="10">
        <f t="shared" si="0"/>
        <v>4.8161901046558112E-4</v>
      </c>
      <c r="D26" s="10">
        <f t="shared" si="1"/>
        <v>0.48161901046558114</v>
      </c>
      <c r="E26" s="10">
        <f t="shared" si="2"/>
        <v>183.80989534418904</v>
      </c>
      <c r="F26" s="10">
        <f t="shared" si="3"/>
        <v>9.2961837249006294</v>
      </c>
      <c r="G26" s="10">
        <f t="shared" si="4"/>
        <v>-71.884457508799159</v>
      </c>
      <c r="H26" s="204">
        <f t="shared" si="9"/>
        <v>0.92961837249006296</v>
      </c>
      <c r="I26" s="204"/>
      <c r="J26" s="204">
        <f t="shared" si="10"/>
        <v>0.92552024893593199</v>
      </c>
      <c r="K26" s="204"/>
      <c r="L26" s="39">
        <f t="shared" si="5"/>
        <v>-62.078713017467607</v>
      </c>
      <c r="M26" s="6">
        <f t="shared" si="6"/>
        <v>3.4645216957793443</v>
      </c>
      <c r="N26" s="39">
        <f t="shared" si="7"/>
        <v>-69.837941215716384</v>
      </c>
      <c r="O26" s="42">
        <f t="shared" si="8"/>
        <v>16.39656869286064</v>
      </c>
    </row>
    <row r="27" spans="1:16" x14ac:dyDescent="0.25">
      <c r="A27" s="2">
        <v>-50</v>
      </c>
      <c r="B27" s="14">
        <f>'RTD Resistance @ Temperature'!G18</f>
        <v>401.55</v>
      </c>
      <c r="C27" s="10">
        <f t="shared" si="0"/>
        <v>4.8069758834019935E-4</v>
      </c>
      <c r="D27" s="10">
        <f t="shared" si="1"/>
        <v>0.48069758834019932</v>
      </c>
      <c r="E27" s="10">
        <f t="shared" si="2"/>
        <v>193.02411659800705</v>
      </c>
      <c r="F27" s="10">
        <f t="shared" si="3"/>
        <v>9.2142212538180104</v>
      </c>
      <c r="G27" s="10">
        <f t="shared" si="4"/>
        <v>-62.670236254981148</v>
      </c>
      <c r="H27" s="204">
        <f t="shared" si="9"/>
        <v>0.92142212538180102</v>
      </c>
      <c r="I27" s="204"/>
      <c r="J27" s="204">
        <f t="shared" si="10"/>
        <v>0.91736074095407649</v>
      </c>
      <c r="K27" s="204"/>
      <c r="L27" s="39">
        <f t="shared" si="5"/>
        <v>-51.541669905878059</v>
      </c>
      <c r="M27" s="6">
        <f t="shared" si="6"/>
        <v>3.0833398117561188</v>
      </c>
      <c r="N27" s="39">
        <f t="shared" si="7"/>
        <v>-57.983871412310542</v>
      </c>
      <c r="O27" s="42">
        <f t="shared" si="8"/>
        <v>15.967742824621084</v>
      </c>
    </row>
    <row r="28" spans="1:16" x14ac:dyDescent="0.25">
      <c r="A28" s="2">
        <v>-40</v>
      </c>
      <c r="B28" s="14">
        <f>'RTD Resistance @ Temperature'!G19</f>
        <v>421.34999999999997</v>
      </c>
      <c r="C28" s="10">
        <f t="shared" si="0"/>
        <v>4.797842889836729E-4</v>
      </c>
      <c r="D28" s="10">
        <f t="shared" si="1"/>
        <v>0.47978428898367292</v>
      </c>
      <c r="E28" s="10">
        <f t="shared" si="2"/>
        <v>202.15711016327057</v>
      </c>
      <c r="F28" s="10">
        <f t="shared" si="3"/>
        <v>9.1329935652635186</v>
      </c>
      <c r="G28" s="10">
        <f t="shared" si="4"/>
        <v>-53.53724268971763</v>
      </c>
      <c r="H28" s="204">
        <f t="shared" si="9"/>
        <v>0.91329935652635186</v>
      </c>
      <c r="I28" s="204"/>
      <c r="J28" s="204">
        <f t="shared" si="10"/>
        <v>0.91042081863284774</v>
      </c>
      <c r="K28" s="204"/>
      <c r="L28" s="39">
        <f t="shared" si="5"/>
        <v>-41.097515778889218</v>
      </c>
      <c r="M28" s="6">
        <f t="shared" si="6"/>
        <v>2.743789447223044</v>
      </c>
      <c r="N28" s="39">
        <f t="shared" si="7"/>
        <v>-46.234300802441567</v>
      </c>
      <c r="O28" s="42">
        <f t="shared" si="8"/>
        <v>15.585752006103917</v>
      </c>
    </row>
    <row r="29" spans="1:16" x14ac:dyDescent="0.25">
      <c r="A29" s="2">
        <v>-30</v>
      </c>
      <c r="B29" s="14">
        <f>'RTD Resistance @ Temperature'!G20</f>
        <v>441.1</v>
      </c>
      <c r="C29" s="10">
        <f t="shared" si="0"/>
        <v>4.7887674670293358E-4</v>
      </c>
      <c r="D29" s="10">
        <f t="shared" si="1"/>
        <v>0.47887674670293356</v>
      </c>
      <c r="E29" s="10">
        <f t="shared" si="2"/>
        <v>211.23253297066401</v>
      </c>
      <c r="F29" s="10">
        <f t="shared" si="3"/>
        <v>9.0754228073934371</v>
      </c>
      <c r="G29" s="10">
        <f t="shared" si="4"/>
        <v>-44.461819882324193</v>
      </c>
      <c r="H29" s="204">
        <f t="shared" si="9"/>
        <v>0.90754228073934373</v>
      </c>
      <c r="I29" s="204"/>
      <c r="J29" s="204">
        <f t="shared" si="10"/>
        <v>0.90468655362906814</v>
      </c>
      <c r="K29" s="204"/>
      <c r="L29" s="39">
        <f t="shared" si="5"/>
        <v>-30.719197444305799</v>
      </c>
      <c r="M29" s="6">
        <f t="shared" si="6"/>
        <v>2.3973248143526624</v>
      </c>
      <c r="N29" s="39">
        <f t="shared" si="7"/>
        <v>-34.55879481112558</v>
      </c>
      <c r="O29" s="42">
        <f t="shared" si="8"/>
        <v>15.195982703751934</v>
      </c>
    </row>
    <row r="30" spans="1:16" x14ac:dyDescent="0.25">
      <c r="A30" s="2">
        <v>-20</v>
      </c>
      <c r="B30" s="14">
        <f>'RTD Resistance @ Temperature'!G21</f>
        <v>460.79999999999995</v>
      </c>
      <c r="C30" s="10">
        <f t="shared" si="0"/>
        <v>4.7797491587641484E-4</v>
      </c>
      <c r="D30" s="10">
        <f t="shared" si="1"/>
        <v>0.47797491587641483</v>
      </c>
      <c r="E30" s="10">
        <f t="shared" si="2"/>
        <v>220.25084123585194</v>
      </c>
      <c r="F30" s="10">
        <f t="shared" si="3"/>
        <v>9.0183082651879261</v>
      </c>
      <c r="G30" s="10">
        <f t="shared" si="4"/>
        <v>-35.443511617136267</v>
      </c>
      <c r="H30" s="204">
        <f t="shared" si="9"/>
        <v>0.90183082651879265</v>
      </c>
      <c r="I30" s="204"/>
      <c r="J30" s="204">
        <f t="shared" si="10"/>
        <v>0.89899765672086862</v>
      </c>
      <c r="K30" s="204"/>
      <c r="L30" s="39">
        <f t="shared" si="5"/>
        <v>-20.406193190743473</v>
      </c>
      <c r="M30" s="6">
        <f t="shared" si="6"/>
        <v>2.030965953717363</v>
      </c>
      <c r="N30" s="39">
        <f t="shared" si="7"/>
        <v>-22.956766518189497</v>
      </c>
      <c r="O30" s="42">
        <f t="shared" si="8"/>
        <v>14.783832590947481</v>
      </c>
    </row>
    <row r="31" spans="1:16" x14ac:dyDescent="0.25">
      <c r="A31" s="2">
        <v>-10</v>
      </c>
      <c r="B31" s="14">
        <f>'RTD Resistance @ Temperature'!G22</f>
        <v>480.45000000000005</v>
      </c>
      <c r="C31" s="10">
        <f t="shared" si="0"/>
        <v>4.7707875138949183E-4</v>
      </c>
      <c r="D31" s="10">
        <f t="shared" si="1"/>
        <v>0.47707875138949185</v>
      </c>
      <c r="E31" s="10">
        <f t="shared" si="2"/>
        <v>229.21248610508138</v>
      </c>
      <c r="F31" s="10">
        <f t="shared" si="3"/>
        <v>8.9616448692294455</v>
      </c>
      <c r="G31" s="10">
        <f t="shared" si="4"/>
        <v>-26.481866747906821</v>
      </c>
      <c r="H31" s="204">
        <f t="shared" si="9"/>
        <v>0.89616448692294459</v>
      </c>
      <c r="I31" s="204"/>
      <c r="J31" s="204">
        <f t="shared" si="10"/>
        <v>0.8922198429693069</v>
      </c>
      <c r="K31" s="204"/>
      <c r="L31" s="39">
        <f t="shared" si="5"/>
        <v>-10.157987104016589</v>
      </c>
      <c r="M31" s="6">
        <f t="shared" si="6"/>
        <v>1.5798710401658942</v>
      </c>
      <c r="N31" s="39">
        <f t="shared" si="7"/>
        <v>-11.427635525251665</v>
      </c>
      <c r="O31" s="42">
        <f t="shared" si="8"/>
        <v>14.276355252516648</v>
      </c>
    </row>
    <row r="32" spans="1:16" ht="16.5" x14ac:dyDescent="0.3">
      <c r="A32" s="12">
        <v>0</v>
      </c>
      <c r="B32" s="51">
        <f>'RTD Resistance @ Temperature'!G23</f>
        <v>500</v>
      </c>
      <c r="C32" s="52">
        <f t="shared" si="0"/>
        <v>4.7619047619047619E-4</v>
      </c>
      <c r="D32" s="52">
        <f t="shared" si="1"/>
        <v>0.47619047619047616</v>
      </c>
      <c r="E32" s="52">
        <f t="shared" si="2"/>
        <v>238.09523809523807</v>
      </c>
      <c r="F32" s="52">
        <f t="shared" si="3"/>
        <v>8.8827519901566916</v>
      </c>
      <c r="G32" s="52">
        <f t="shared" si="4"/>
        <v>-17.599114757750129</v>
      </c>
      <c r="H32" s="210">
        <f t="shared" si="9"/>
        <v>0.8882751990156692</v>
      </c>
      <c r="I32" s="210"/>
      <c r="J32" s="210">
        <f t="shared" si="10"/>
        <v>0.88549480687103144</v>
      </c>
      <c r="K32" s="210"/>
      <c r="L32" s="53">
        <f t="shared" si="5"/>
        <v>0</v>
      </c>
      <c r="M32" s="54">
        <v>0</v>
      </c>
      <c r="N32" s="53">
        <f t="shared" si="7"/>
        <v>0</v>
      </c>
      <c r="O32" s="55">
        <v>0</v>
      </c>
      <c r="P32" s="13" t="s">
        <v>67</v>
      </c>
    </row>
    <row r="33" spans="1:16" x14ac:dyDescent="0.25">
      <c r="A33" s="12">
        <v>10</v>
      </c>
      <c r="B33" s="14">
        <f>'RTD Resistance @ Temperature'!G24</f>
        <v>519.5</v>
      </c>
      <c r="C33" s="10">
        <f t="shared" si="0"/>
        <v>4.753077617757498E-4</v>
      </c>
      <c r="D33" s="10">
        <f t="shared" si="1"/>
        <v>0.47530776177574979</v>
      </c>
      <c r="E33" s="10">
        <f t="shared" si="2"/>
        <v>246.92238224250201</v>
      </c>
      <c r="F33" s="10">
        <f t="shared" si="3"/>
        <v>8.8271441472639367</v>
      </c>
      <c r="G33" s="10">
        <f t="shared" si="4"/>
        <v>-8.7719706104861928</v>
      </c>
      <c r="H33" s="204">
        <f t="shared" si="9"/>
        <v>0.88271441472639367</v>
      </c>
      <c r="I33" s="204"/>
      <c r="J33" s="204">
        <f t="shared" si="10"/>
        <v>0.87995573788750647</v>
      </c>
      <c r="K33" s="204"/>
      <c r="L33" s="39">
        <f t="shared" si="5"/>
        <v>10.094396028681746</v>
      </c>
      <c r="M33" s="6">
        <f t="shared" si="6"/>
        <v>0.94396028681746447</v>
      </c>
      <c r="N33" s="39">
        <f t="shared" si="7"/>
        <v>11.356096191312357</v>
      </c>
      <c r="O33" s="42">
        <f t="shared" si="8"/>
        <v>13.56096191312357</v>
      </c>
    </row>
    <row r="34" spans="1:16" x14ac:dyDescent="0.25">
      <c r="A34" s="12">
        <v>20</v>
      </c>
      <c r="B34" s="46">
        <f>'RTD Resistance @ Temperature'!G25</f>
        <v>538.95000000000005</v>
      </c>
      <c r="C34" s="47">
        <f>$D$4 / ($D$5 + $D$6 + B34)</f>
        <v>4.7443056471470113E-4</v>
      </c>
      <c r="D34" s="47">
        <f t="shared" si="1"/>
        <v>0.47443056471470113</v>
      </c>
      <c r="E34" s="47">
        <f t="shared" si="2"/>
        <v>255.6943528529882</v>
      </c>
      <c r="F34" s="47">
        <f>E34-E33</f>
        <v>8.7719706104861928</v>
      </c>
      <c r="G34" s="47">
        <f t="shared" si="4"/>
        <v>0</v>
      </c>
      <c r="H34" s="211">
        <f t="shared" si="9"/>
        <v>0.87719706104861928</v>
      </c>
      <c r="I34" s="211"/>
      <c r="J34" s="211">
        <f t="shared" si="10"/>
        <v>0.87445986091519501</v>
      </c>
      <c r="K34" s="211"/>
      <c r="L34" s="48">
        <f t="shared" si="5"/>
        <v>20.12569763846129</v>
      </c>
      <c r="M34" s="49">
        <f t="shared" si="6"/>
        <v>0.62848819230644892</v>
      </c>
      <c r="N34" s="48">
        <f t="shared" si="7"/>
        <v>22.641211782284437</v>
      </c>
      <c r="O34" s="50">
        <f t="shared" si="8"/>
        <v>13.206058911422183</v>
      </c>
      <c r="P34" s="1" t="s">
        <v>66</v>
      </c>
    </row>
    <row r="35" spans="1:16" x14ac:dyDescent="0.25">
      <c r="A35" s="12">
        <v>30</v>
      </c>
      <c r="B35" s="14">
        <f>'RTD Resistance @ Temperature'!G26</f>
        <v>558.35</v>
      </c>
      <c r="C35" s="10">
        <f t="shared" si="0"/>
        <v>4.7355884205391938E-4</v>
      </c>
      <c r="D35" s="10">
        <f t="shared" si="1"/>
        <v>0.4735588420539194</v>
      </c>
      <c r="E35" s="10">
        <f t="shared" si="2"/>
        <v>264.41157946080591</v>
      </c>
      <c r="F35" s="10">
        <f t="shared" si="3"/>
        <v>8.7172266078177074</v>
      </c>
      <c r="G35" s="10">
        <f t="shared" si="4"/>
        <v>8.7172266078177074</v>
      </c>
      <c r="H35" s="204">
        <f t="shared" si="9"/>
        <v>0.87172266078177074</v>
      </c>
      <c r="I35" s="204"/>
      <c r="J35" s="204">
        <f t="shared" si="10"/>
        <v>0.86900670196236685</v>
      </c>
      <c r="K35" s="204"/>
      <c r="L35" s="39">
        <f t="shared" si="5"/>
        <v>30.094396028681746</v>
      </c>
      <c r="M35" s="6">
        <f t="shared" si="6"/>
        <v>0.31465342893915488</v>
      </c>
      <c r="N35" s="39">
        <f t="shared" si="7"/>
        <v>33.855899367343248</v>
      </c>
      <c r="O35" s="42">
        <f t="shared" si="8"/>
        <v>12.852997891144161</v>
      </c>
    </row>
    <row r="36" spans="1:16" x14ac:dyDescent="0.25">
      <c r="A36" s="12">
        <v>40</v>
      </c>
      <c r="B36" s="14">
        <f>'RTD Resistance @ Temperature'!G27</f>
        <v>577.70000000000005</v>
      </c>
      <c r="C36" s="10">
        <f t="shared" si="0"/>
        <v>4.7269255131077642E-4</v>
      </c>
      <c r="D36" s="10">
        <f t="shared" si="1"/>
        <v>0.47269255131077642</v>
      </c>
      <c r="E36" s="10">
        <f t="shared" si="2"/>
        <v>273.07448689223554</v>
      </c>
      <c r="F36" s="10">
        <f t="shared" si="3"/>
        <v>8.6629074314296304</v>
      </c>
      <c r="G36" s="10">
        <f t="shared" si="4"/>
        <v>17.380134039247338</v>
      </c>
      <c r="H36" s="204">
        <f t="shared" si="9"/>
        <v>0.86629074314296306</v>
      </c>
      <c r="I36" s="204"/>
      <c r="J36" s="204">
        <f t="shared" si="10"/>
        <v>0.86359579340303583</v>
      </c>
      <c r="K36" s="204"/>
      <c r="L36" s="39">
        <f t="shared" si="5"/>
        <v>40.000977014987029</v>
      </c>
      <c r="M36" s="6">
        <f t="shared" si="6"/>
        <v>2.4425374675729472E-3</v>
      </c>
      <c r="N36" s="39">
        <f t="shared" si="7"/>
        <v>45.000705484307183</v>
      </c>
      <c r="O36" s="42">
        <f t="shared" si="8"/>
        <v>12.501763710767957</v>
      </c>
    </row>
    <row r="37" spans="1:16" x14ac:dyDescent="0.25">
      <c r="A37" s="12">
        <v>50</v>
      </c>
      <c r="B37" s="14">
        <f>'RTD Resistance @ Temperature'!G28</f>
        <v>597</v>
      </c>
      <c r="C37" s="10">
        <f t="shared" si="0"/>
        <v>4.7183165046711331E-4</v>
      </c>
      <c r="D37" s="10">
        <f t="shared" si="1"/>
        <v>0.47183165046711328</v>
      </c>
      <c r="E37" s="10">
        <f t="shared" si="2"/>
        <v>281.68349532886663</v>
      </c>
      <c r="F37" s="10">
        <f t="shared" si="3"/>
        <v>8.6090084366310862</v>
      </c>
      <c r="G37" s="10">
        <f t="shared" si="4"/>
        <v>25.989142475878424</v>
      </c>
      <c r="H37" s="204">
        <f t="shared" si="9"/>
        <v>0.86090084366310859</v>
      </c>
      <c r="I37" s="204"/>
      <c r="J37" s="204">
        <f t="shared" si="10"/>
        <v>0.85711757622618734</v>
      </c>
      <c r="K37" s="204"/>
      <c r="L37" s="39">
        <f t="shared" si="5"/>
        <v>49.845921101524105</v>
      </c>
      <c r="M37" s="6">
        <f t="shared" si="6"/>
        <v>-0.30815779695178946</v>
      </c>
      <c r="N37" s="39">
        <f t="shared" si="7"/>
        <v>56.076170695612859</v>
      </c>
      <c r="O37" s="42">
        <f t="shared" si="8"/>
        <v>12.152341391225718</v>
      </c>
    </row>
    <row r="38" spans="1:16" x14ac:dyDescent="0.25">
      <c r="A38" s="12">
        <v>60</v>
      </c>
      <c r="B38" s="14">
        <f>'RTD Resistance @ Temperature'!G29</f>
        <v>616.19999999999993</v>
      </c>
      <c r="C38" s="10">
        <f t="shared" si="0"/>
        <v>4.7097831615832406E-4</v>
      </c>
      <c r="D38" s="10">
        <f t="shared" si="1"/>
        <v>0.47097831615832408</v>
      </c>
      <c r="E38" s="10">
        <f t="shared" si="2"/>
        <v>290.21683841675929</v>
      </c>
      <c r="F38" s="10">
        <f t="shared" si="3"/>
        <v>8.5333430878926606</v>
      </c>
      <c r="G38" s="10">
        <f t="shared" si="4"/>
        <v>34.522485563771085</v>
      </c>
      <c r="H38" s="204">
        <f t="shared" si="9"/>
        <v>0.85333430878926608</v>
      </c>
      <c r="I38" s="204"/>
      <c r="J38" s="204">
        <f t="shared" si="10"/>
        <v>0.85179379139182176</v>
      </c>
      <c r="K38" s="204"/>
      <c r="L38" s="39">
        <f t="shared" si="5"/>
        <v>59.604337089836946</v>
      </c>
      <c r="M38" s="6">
        <f t="shared" si="6"/>
        <v>-0.65943818360508999</v>
      </c>
      <c r="N38" s="39">
        <f t="shared" si="7"/>
        <v>67.054292647956458</v>
      </c>
      <c r="O38" s="42">
        <f t="shared" si="8"/>
        <v>11.757154413260764</v>
      </c>
    </row>
    <row r="39" spans="1:16" x14ac:dyDescent="0.25">
      <c r="A39" s="12">
        <v>70</v>
      </c>
      <c r="B39" s="14">
        <f>'RTD Resistance @ Temperature'!G30</f>
        <v>635.4</v>
      </c>
      <c r="C39" s="10">
        <f t="shared" si="0"/>
        <v>4.7012806288432968E-4</v>
      </c>
      <c r="D39" s="10">
        <f t="shared" si="1"/>
        <v>0.47012806288432968</v>
      </c>
      <c r="E39" s="10">
        <f t="shared" si="2"/>
        <v>298.71937115670306</v>
      </c>
      <c r="F39" s="10">
        <f t="shared" si="3"/>
        <v>8.5025327399437742</v>
      </c>
      <c r="G39" s="10">
        <f t="shared" si="4"/>
        <v>43.025018303714859</v>
      </c>
      <c r="H39" s="204">
        <f t="shared" si="9"/>
        <v>0.85025327399437745</v>
      </c>
      <c r="I39" s="204"/>
      <c r="J39" s="204">
        <f t="shared" si="10"/>
        <v>0.84651881875563506</v>
      </c>
      <c r="K39" s="204"/>
      <c r="L39" s="39">
        <f t="shared" si="5"/>
        <v>69.327519502172223</v>
      </c>
      <c r="M39" s="6">
        <f t="shared" si="6"/>
        <v>-0.96068642546825356</v>
      </c>
      <c r="N39" s="39">
        <f t="shared" si="7"/>
        <v>77.992777174065893</v>
      </c>
      <c r="O39" s="42">
        <f t="shared" si="8"/>
        <v>11.418253105808418</v>
      </c>
    </row>
    <row r="40" spans="1:16" x14ac:dyDescent="0.25">
      <c r="A40" s="12">
        <v>80</v>
      </c>
      <c r="B40" s="14">
        <f>'RTD Resistance @ Temperature'!G31</f>
        <v>654.5</v>
      </c>
      <c r="C40" s="10">
        <f t="shared" si="0"/>
        <v>4.6928527852081281E-4</v>
      </c>
      <c r="D40" s="10">
        <f t="shared" si="1"/>
        <v>0.46928527852081281</v>
      </c>
      <c r="E40" s="10">
        <f t="shared" si="2"/>
        <v>307.14721479187199</v>
      </c>
      <c r="F40" s="10">
        <f t="shared" si="3"/>
        <v>8.4278436351689265</v>
      </c>
      <c r="G40" s="10">
        <f t="shared" si="4"/>
        <v>51.452861938883785</v>
      </c>
      <c r="H40" s="204">
        <f t="shared" si="9"/>
        <v>0.84278436351689268</v>
      </c>
      <c r="I40" s="204"/>
      <c r="J40" s="204">
        <f t="shared" si="10"/>
        <v>0.84017902192978222</v>
      </c>
      <c r="K40" s="204"/>
      <c r="L40" s="39">
        <f t="shared" si="5"/>
        <v>78.965290212823803</v>
      </c>
      <c r="M40" s="6">
        <f t="shared" si="6"/>
        <v>-1.2933872339702468</v>
      </c>
      <c r="N40" s="39">
        <f t="shared" si="7"/>
        <v>88.835174376334692</v>
      </c>
      <c r="O40" s="42">
        <f t="shared" si="8"/>
        <v>11.043967970418365</v>
      </c>
    </row>
    <row r="41" spans="1:16" x14ac:dyDescent="0.25">
      <c r="A41" s="12">
        <v>90</v>
      </c>
      <c r="B41" s="14">
        <f>'RTD Resistance @ Temperature'!G32</f>
        <v>673.55000000000007</v>
      </c>
      <c r="C41" s="10">
        <f t="shared" si="0"/>
        <v>4.6844770484047015E-4</v>
      </c>
      <c r="D41" s="10">
        <f t="shared" si="1"/>
        <v>0.46844770484047016</v>
      </c>
      <c r="E41" s="10">
        <f t="shared" si="2"/>
        <v>315.52295159529871</v>
      </c>
      <c r="F41" s="10">
        <f t="shared" si="3"/>
        <v>8.3757368034267188</v>
      </c>
      <c r="G41" s="10">
        <f t="shared" si="4"/>
        <v>59.828598742310504</v>
      </c>
      <c r="H41" s="204">
        <f t="shared" si="9"/>
        <v>0.83757368034267188</v>
      </c>
      <c r="I41" s="204"/>
      <c r="J41" s="204">
        <f t="shared" si="10"/>
        <v>0.83498813883109901</v>
      </c>
      <c r="K41" s="204"/>
      <c r="L41" s="39">
        <f t="shared" si="5"/>
        <v>88.543473475187398</v>
      </c>
      <c r="M41" s="6">
        <f t="shared" si="6"/>
        <v>-1.618362805347336</v>
      </c>
      <c r="N41" s="39">
        <f t="shared" si="7"/>
        <v>99.61053628569141</v>
      </c>
      <c r="O41" s="42">
        <f t="shared" si="8"/>
        <v>10.678373650768233</v>
      </c>
    </row>
    <row r="42" spans="1:16" x14ac:dyDescent="0.25">
      <c r="A42" s="12">
        <v>100</v>
      </c>
      <c r="B42" s="14">
        <f>'RTD Resistance @ Temperature'!G33</f>
        <v>692.55</v>
      </c>
      <c r="C42" s="10">
        <f t="shared" si="0"/>
        <v>4.6761530224315065E-4</v>
      </c>
      <c r="D42" s="10">
        <f t="shared" si="1"/>
        <v>0.46761530224315062</v>
      </c>
      <c r="E42" s="10">
        <f t="shared" si="2"/>
        <v>323.84697756849397</v>
      </c>
      <c r="F42" s="10">
        <f t="shared" si="3"/>
        <v>8.3240259731952619</v>
      </c>
      <c r="G42" s="10">
        <f t="shared" si="4"/>
        <v>68.152624715505766</v>
      </c>
      <c r="H42" s="204">
        <f t="shared" si="9"/>
        <v>0.83240259731952615</v>
      </c>
      <c r="I42" s="204"/>
      <c r="J42" s="204">
        <f t="shared" si="10"/>
        <v>0.82874718238211076</v>
      </c>
      <c r="K42" s="204"/>
      <c r="L42" s="39">
        <f t="shared" si="5"/>
        <v>98.062522141964948</v>
      </c>
      <c r="M42" s="6">
        <f t="shared" si="6"/>
        <v>-1.9374778580350522</v>
      </c>
      <c r="N42" s="39">
        <f t="shared" si="7"/>
        <v>110.31937235696911</v>
      </c>
      <c r="O42" s="42">
        <f t="shared" si="8"/>
        <v>10.319372356969112</v>
      </c>
    </row>
    <row r="43" spans="1:16" x14ac:dyDescent="0.25">
      <c r="A43" s="12">
        <v>110</v>
      </c>
      <c r="B43" s="14">
        <f>'RTD Resistance @ Temperature'!G34</f>
        <v>711.44999999999993</v>
      </c>
      <c r="C43" s="10">
        <f t="shared" si="0"/>
        <v>4.667902104757059E-4</v>
      </c>
      <c r="D43" s="10">
        <f t="shared" si="1"/>
        <v>0.4667902104757059</v>
      </c>
      <c r="E43" s="10">
        <f t="shared" si="2"/>
        <v>332.09789524294092</v>
      </c>
      <c r="F43" s="10">
        <f t="shared" si="3"/>
        <v>8.2509176744469528</v>
      </c>
      <c r="G43" s="10">
        <f t="shared" si="4"/>
        <v>76.403542389952719</v>
      </c>
      <c r="H43" s="204">
        <f t="shared" si="9"/>
        <v>0.82509176744469526</v>
      </c>
      <c r="I43" s="204"/>
      <c r="J43" s="204">
        <f t="shared" si="10"/>
        <v>0.8236384845224507</v>
      </c>
      <c r="K43" s="204"/>
      <c r="L43" s="39">
        <f t="shared" si="5"/>
        <v>107.49796685844591</v>
      </c>
      <c r="M43" s="6">
        <f t="shared" si="6"/>
        <v>-2.2745755832309942</v>
      </c>
      <c r="N43" s="39">
        <f t="shared" si="7"/>
        <v>120.93415480692622</v>
      </c>
      <c r="O43" s="42">
        <f t="shared" si="8"/>
        <v>9.9401407335692866</v>
      </c>
    </row>
    <row r="44" spans="1:16" x14ac:dyDescent="0.25">
      <c r="A44" s="12">
        <v>120</v>
      </c>
      <c r="B44" s="14">
        <f>'RTD Resistance @ Temperature'!G35</f>
        <v>730.34999999999991</v>
      </c>
      <c r="C44" s="10">
        <f t="shared" si="0"/>
        <v>4.6596802527410565E-4</v>
      </c>
      <c r="D44" s="10">
        <f t="shared" si="1"/>
        <v>0.46596802527410563</v>
      </c>
      <c r="E44" s="10">
        <f t="shared" si="2"/>
        <v>340.31974725894298</v>
      </c>
      <c r="F44" s="10">
        <f t="shared" si="3"/>
        <v>8.2218520160020603</v>
      </c>
      <c r="G44" s="10">
        <f t="shared" si="4"/>
        <v>84.625394405954779</v>
      </c>
      <c r="H44" s="204">
        <f t="shared" si="9"/>
        <v>0.82218520160020603</v>
      </c>
      <c r="I44" s="204"/>
      <c r="J44" s="204">
        <f t="shared" si="10"/>
        <v>0.81857593088450076</v>
      </c>
      <c r="K44" s="204"/>
      <c r="L44" s="39">
        <f t="shared" si="5"/>
        <v>116.90017316142843</v>
      </c>
      <c r="M44" s="6">
        <f t="shared" si="6"/>
        <v>-2.583189032142978</v>
      </c>
      <c r="N44" s="39">
        <f t="shared" si="7"/>
        <v>131.51154436880341</v>
      </c>
      <c r="O44" s="42">
        <f t="shared" si="8"/>
        <v>9.5929536406695117</v>
      </c>
    </row>
    <row r="45" spans="1:16" x14ac:dyDescent="0.25">
      <c r="A45" s="12">
        <v>130</v>
      </c>
      <c r="B45" s="14">
        <f>'RTD Resistance @ Temperature'!G36</f>
        <v>749.15000000000009</v>
      </c>
      <c r="C45" s="10">
        <f t="shared" si="0"/>
        <v>4.6515305861393694E-4</v>
      </c>
      <c r="D45" s="10">
        <f t="shared" si="1"/>
        <v>0.46515305861393696</v>
      </c>
      <c r="E45" s="10">
        <f t="shared" si="2"/>
        <v>348.46941386063094</v>
      </c>
      <c r="F45" s="10">
        <f t="shared" si="3"/>
        <v>8.1496666016879544</v>
      </c>
      <c r="G45" s="10">
        <f t="shared" si="4"/>
        <v>92.775061007642734</v>
      </c>
      <c r="H45" s="204">
        <f t="shared" si="9"/>
        <v>0.81496666016879549</v>
      </c>
      <c r="I45" s="204"/>
      <c r="J45" s="204">
        <f t="shared" si="10"/>
        <v>0.81246572447008414</v>
      </c>
      <c r="K45" s="204"/>
      <c r="L45" s="39">
        <f t="shared" si="5"/>
        <v>126.21983089066788</v>
      </c>
      <c r="M45" s="6">
        <f t="shared" si="6"/>
        <v>-2.907822391793939</v>
      </c>
      <c r="N45" s="39">
        <f>($E45-$M$2)/$M$7</f>
        <v>141.99606759759655</v>
      </c>
      <c r="O45" s="42">
        <f t="shared" si="8"/>
        <v>9.2277443058434994</v>
      </c>
    </row>
    <row r="46" spans="1:16" x14ac:dyDescent="0.25">
      <c r="A46" s="12">
        <v>140</v>
      </c>
      <c r="B46" s="14">
        <f>'RTD Resistance @ Temperature'!G37</f>
        <v>767.90000000000009</v>
      </c>
      <c r="C46" s="10">
        <f t="shared" si="0"/>
        <v>4.6434309382516556E-4</v>
      </c>
      <c r="D46" s="10">
        <f t="shared" si="1"/>
        <v>0.46434309382516553</v>
      </c>
      <c r="E46" s="10">
        <f t="shared" si="2"/>
        <v>356.56906174834467</v>
      </c>
      <c r="F46" s="10">
        <f t="shared" si="3"/>
        <v>8.0996478877137292</v>
      </c>
      <c r="G46" s="10">
        <f t="shared" si="4"/>
        <v>100.87470889535646</v>
      </c>
      <c r="H46" s="204">
        <f t="shared" si="9"/>
        <v>0.8099647887713729</v>
      </c>
      <c r="I46" s="204"/>
      <c r="J46" s="204">
        <f t="shared" si="10"/>
        <v>0.80855685954502121</v>
      </c>
      <c r="K46" s="204"/>
      <c r="L46" s="39">
        <f t="shared" si="5"/>
        <v>135.48228906597711</v>
      </c>
      <c r="M46" s="6">
        <f t="shared" si="6"/>
        <v>-3.226936381444919</v>
      </c>
      <c r="N46" s="39">
        <f t="shared" si="7"/>
        <v>152.41624189113034</v>
      </c>
      <c r="O46" s="42">
        <f t="shared" si="8"/>
        <v>8.8687442079502432</v>
      </c>
    </row>
    <row r="47" spans="1:16" x14ac:dyDescent="0.25">
      <c r="A47" s="12">
        <v>150</v>
      </c>
      <c r="B47" s="14">
        <f>'RTD Resistance @ Temperature'!G38</f>
        <v>786.65000000000009</v>
      </c>
      <c r="C47" s="10">
        <f t="shared" si="0"/>
        <v>4.6353594489484688E-4</v>
      </c>
      <c r="D47" s="10">
        <f t="shared" si="1"/>
        <v>0.4635359448948469</v>
      </c>
      <c r="E47" s="10">
        <f t="shared" si="2"/>
        <v>364.64055105153136</v>
      </c>
      <c r="F47" s="10">
        <f t="shared" si="3"/>
        <v>8.071489303186695</v>
      </c>
      <c r="G47" s="10">
        <f t="shared" si="4"/>
        <v>108.94619819854316</v>
      </c>
      <c r="H47" s="204">
        <f t="shared" si="9"/>
        <v>0.80714893031866952</v>
      </c>
      <c r="I47" s="204"/>
      <c r="J47" s="204">
        <f t="shared" si="10"/>
        <v>0.80253647784039683</v>
      </c>
      <c r="K47" s="204"/>
      <c r="L47" s="39">
        <f t="shared" si="5"/>
        <v>144.71254612401887</v>
      </c>
      <c r="M47" s="6">
        <f t="shared" si="6"/>
        <v>-3.5249692506540855</v>
      </c>
      <c r="N47" s="39">
        <f t="shared" si="7"/>
        <v>162.80019024463581</v>
      </c>
      <c r="O47" s="42">
        <f t="shared" si="8"/>
        <v>8.5334601630905436</v>
      </c>
    </row>
    <row r="48" spans="1:16" x14ac:dyDescent="0.25">
      <c r="A48" s="12">
        <v>160</v>
      </c>
      <c r="B48" s="14">
        <f>'RTD Resistance @ Temperature'!G39</f>
        <v>805.25</v>
      </c>
      <c r="C48" s="10">
        <f t="shared" si="0"/>
        <v>4.6273802086948472E-4</v>
      </c>
      <c r="D48" s="10">
        <f t="shared" si="1"/>
        <v>0.46273802086948473</v>
      </c>
      <c r="E48" s="10">
        <f t="shared" si="2"/>
        <v>372.6197913051526</v>
      </c>
      <c r="F48" s="10">
        <f t="shared" si="3"/>
        <v>7.9792402536212421</v>
      </c>
      <c r="G48" s="10">
        <f t="shared" si="4"/>
        <v>116.9254384521644</v>
      </c>
      <c r="H48" s="204">
        <f t="shared" si="9"/>
        <v>0.79792402536212426</v>
      </c>
      <c r="I48" s="204"/>
      <c r="J48" s="204">
        <f t="shared" si="10"/>
        <v>0.79655285088430783</v>
      </c>
      <c r="K48" s="204"/>
      <c r="L48" s="39">
        <f t="shared" si="5"/>
        <v>153.83731057606622</v>
      </c>
      <c r="M48" s="6">
        <f t="shared" si="6"/>
        <v>-3.8516808899586157</v>
      </c>
      <c r="N48" s="39">
        <f t="shared" si="7"/>
        <v>173.06546045457125</v>
      </c>
      <c r="O48" s="42">
        <f t="shared" si="8"/>
        <v>8.1659127841070323</v>
      </c>
    </row>
    <row r="49" spans="1:15" x14ac:dyDescent="0.25">
      <c r="A49" s="12">
        <v>170</v>
      </c>
      <c r="B49" s="14">
        <f>'RTD Resistance @ Temperature'!G40</f>
        <v>823.85</v>
      </c>
      <c r="C49" s="10">
        <f t="shared" si="0"/>
        <v>4.6194283919307822E-4</v>
      </c>
      <c r="D49" s="10">
        <f t="shared" si="1"/>
        <v>0.46194283919307821</v>
      </c>
      <c r="E49" s="10">
        <f t="shared" si="2"/>
        <v>380.57160806921752</v>
      </c>
      <c r="F49" s="10">
        <f t="shared" si="3"/>
        <v>7.9518167640649153</v>
      </c>
      <c r="G49" s="10">
        <f t="shared" si="4"/>
        <v>124.87725521622932</v>
      </c>
      <c r="H49" s="204">
        <f t="shared" si="9"/>
        <v>0.79518167640649151</v>
      </c>
      <c r="I49" s="204"/>
      <c r="J49" s="204">
        <f t="shared" si="10"/>
        <v>0.79275425529870347</v>
      </c>
      <c r="K49" s="204"/>
      <c r="L49" s="39">
        <f t="shared" si="5"/>
        <v>162.9307145383049</v>
      </c>
      <c r="M49" s="6">
        <f t="shared" si="6"/>
        <v>-4.1584032127618249</v>
      </c>
      <c r="N49" s="39">
        <f t="shared" si="7"/>
        <v>183.29545042209674</v>
      </c>
      <c r="O49" s="42">
        <f t="shared" si="8"/>
        <v>7.8208531894686679</v>
      </c>
    </row>
    <row r="50" spans="1:15" x14ac:dyDescent="0.25">
      <c r="A50" s="12">
        <v>180</v>
      </c>
      <c r="B50" s="14">
        <f>'RTD Resistance @ Temperature'!G41</f>
        <v>842.4</v>
      </c>
      <c r="C50" s="10">
        <f t="shared" si="0"/>
        <v>4.6115251235888735E-4</v>
      </c>
      <c r="D50" s="10">
        <f t="shared" si="1"/>
        <v>0.46115251235888732</v>
      </c>
      <c r="E50" s="10">
        <f t="shared" si="2"/>
        <v>388.47487641112667</v>
      </c>
      <c r="F50" s="10">
        <f t="shared" si="3"/>
        <v>7.9032683419091541</v>
      </c>
      <c r="G50" s="10">
        <f t="shared" si="4"/>
        <v>132.78052355813847</v>
      </c>
      <c r="H50" s="204">
        <f t="shared" si="9"/>
        <v>0.79032683419091543</v>
      </c>
      <c r="I50" s="204"/>
      <c r="J50" s="204">
        <f t="shared" si="10"/>
        <v>0.78685761474211513</v>
      </c>
      <c r="K50" s="204"/>
      <c r="L50" s="39">
        <f t="shared" si="5"/>
        <v>171.96860031803379</v>
      </c>
      <c r="M50" s="6">
        <f t="shared" si="6"/>
        <v>-4.4618887122034483</v>
      </c>
      <c r="N50" s="39">
        <f t="shared" si="7"/>
        <v>193.46298298066418</v>
      </c>
      <c r="O50" s="42">
        <f t="shared" si="8"/>
        <v>7.4794349892578769</v>
      </c>
    </row>
    <row r="51" spans="1:15" x14ac:dyDescent="0.25">
      <c r="A51" s="12">
        <v>190</v>
      </c>
      <c r="B51" s="14">
        <f>'RTD Resistance @ Temperature'!G42</f>
        <v>860.84999999999991</v>
      </c>
      <c r="C51" s="10">
        <f t="shared" si="0"/>
        <v>4.6036912396359397E-4</v>
      </c>
      <c r="D51" s="10">
        <f t="shared" si="1"/>
        <v>0.46036912396359397</v>
      </c>
      <c r="E51" s="10">
        <f t="shared" si="2"/>
        <v>396.30876036405982</v>
      </c>
      <c r="F51" s="10">
        <f t="shared" si="3"/>
        <v>7.8338839529331494</v>
      </c>
      <c r="G51" s="10">
        <f t="shared" si="4"/>
        <v>140.61440751107162</v>
      </c>
      <c r="H51" s="204">
        <f t="shared" si="9"/>
        <v>0.78338839529331494</v>
      </c>
      <c r="I51" s="204"/>
      <c r="J51" s="204">
        <f t="shared" si="10"/>
        <v>0.78205986166587138</v>
      </c>
      <c r="K51" s="204"/>
      <c r="L51" s="39">
        <f t="shared" si="5"/>
        <v>180.92714067314438</v>
      </c>
      <c r="M51" s="6">
        <f t="shared" si="6"/>
        <v>-4.7751891193976954</v>
      </c>
      <c r="N51" s="39">
        <f t="shared" si="7"/>
        <v>203.54125271739005</v>
      </c>
      <c r="O51" s="42">
        <f t="shared" si="8"/>
        <v>7.1269751144158162</v>
      </c>
    </row>
    <row r="52" spans="1:15" x14ac:dyDescent="0.25">
      <c r="A52" s="12">
        <v>200</v>
      </c>
      <c r="B52" s="14">
        <f>'RTD Resistance @ Temperature'!G43</f>
        <v>879.30000000000007</v>
      </c>
      <c r="C52" s="10">
        <f t="shared" si="0"/>
        <v>4.5958839263555561E-4</v>
      </c>
      <c r="D52" s="10">
        <f t="shared" si="1"/>
        <v>0.45958839263555562</v>
      </c>
      <c r="E52" s="10">
        <f t="shared" si="2"/>
        <v>404.1160736444441</v>
      </c>
      <c r="F52" s="10">
        <f t="shared" si="3"/>
        <v>7.8073132803842782</v>
      </c>
      <c r="G52" s="10">
        <f t="shared" si="4"/>
        <v>148.4217207914559</v>
      </c>
      <c r="H52" s="204">
        <f t="shared" si="9"/>
        <v>0.78073132803842782</v>
      </c>
      <c r="I52" s="204"/>
      <c r="J52" s="204">
        <f t="shared" si="10"/>
        <v>0.77730445379785351</v>
      </c>
      <c r="K52" s="204"/>
      <c r="L52" s="39">
        <f t="shared" si="5"/>
        <v>189.8552957884784</v>
      </c>
      <c r="M52" s="6">
        <f t="shared" si="6"/>
        <v>-5.0723521057607996</v>
      </c>
      <c r="N52" s="39">
        <f t="shared" si="7"/>
        <v>213.58533935839452</v>
      </c>
      <c r="O52" s="42">
        <f t="shared" si="8"/>
        <v>6.7926696791972603</v>
      </c>
    </row>
    <row r="53" spans="1:15" x14ac:dyDescent="0.25">
      <c r="A53" s="12">
        <v>210</v>
      </c>
      <c r="B53" s="14">
        <f>'RTD Resistance @ Temperature'!G44</f>
        <v>897.65</v>
      </c>
      <c r="C53" s="10">
        <f t="shared" si="0"/>
        <v>4.5881451505599833E-4</v>
      </c>
      <c r="D53" s="10">
        <f t="shared" si="1"/>
        <v>0.45881451505599835</v>
      </c>
      <c r="E53" s="10">
        <f t="shared" si="2"/>
        <v>411.85484944001689</v>
      </c>
      <c r="F53" s="10">
        <f t="shared" si="3"/>
        <v>7.738775795572792</v>
      </c>
      <c r="G53" s="10">
        <f t="shared" si="4"/>
        <v>156.16049658702869</v>
      </c>
      <c r="H53" s="204">
        <f t="shared" si="9"/>
        <v>0.7738775795572792</v>
      </c>
      <c r="I53" s="204"/>
      <c r="J53" s="204">
        <f t="shared" si="10"/>
        <v>0.77152765403345713</v>
      </c>
      <c r="K53" s="204"/>
      <c r="L53" s="39">
        <f t="shared" si="5"/>
        <v>198.70507396751742</v>
      </c>
      <c r="M53" s="6">
        <f t="shared" si="6"/>
        <v>-5.3785362059440853</v>
      </c>
      <c r="N53" s="39">
        <f t="shared" si="7"/>
        <v>223.54125271739005</v>
      </c>
      <c r="O53" s="42">
        <f t="shared" si="8"/>
        <v>6.4482155797095491</v>
      </c>
    </row>
    <row r="54" spans="1:15" x14ac:dyDescent="0.25">
      <c r="A54" s="12">
        <v>220</v>
      </c>
      <c r="B54" s="14">
        <f>'RTD Resistance @ Temperature'!G45</f>
        <v>915.95</v>
      </c>
      <c r="C54" s="10">
        <f t="shared" si="0"/>
        <v>4.5804533732748866E-4</v>
      </c>
      <c r="D54" s="10">
        <f t="shared" si="1"/>
        <v>0.45804533732748864</v>
      </c>
      <c r="E54" s="10">
        <f t="shared" si="2"/>
        <v>419.54662672511324</v>
      </c>
      <c r="F54" s="10">
        <f t="shared" si="3"/>
        <v>7.6917772850963502</v>
      </c>
      <c r="G54" s="10">
        <f t="shared" si="4"/>
        <v>163.85227387212504</v>
      </c>
      <c r="H54" s="204">
        <f t="shared" si="9"/>
        <v>0.76917772850963506</v>
      </c>
      <c r="I54" s="204"/>
      <c r="J54" s="204">
        <f t="shared" si="10"/>
        <v>0.76684487778240396</v>
      </c>
      <c r="K54" s="204"/>
      <c r="L54" s="39">
        <f t="shared" si="5"/>
        <v>207.50110638579935</v>
      </c>
      <c r="M54" s="6">
        <f t="shared" si="6"/>
        <v>-5.6813152791821153</v>
      </c>
      <c r="N54" s="39">
        <f t="shared" si="7"/>
        <v>233.43670262445656</v>
      </c>
      <c r="O54" s="42">
        <f t="shared" si="8"/>
        <v>6.1075921020257082</v>
      </c>
    </row>
    <row r="55" spans="1:15" x14ac:dyDescent="0.25">
      <c r="A55" s="12">
        <v>230</v>
      </c>
      <c r="B55" s="14">
        <f>'RTD Resistance @ Temperature'!G46</f>
        <v>934.2</v>
      </c>
      <c r="C55" s="10">
        <f t="shared" si="0"/>
        <v>4.5728082530043348E-4</v>
      </c>
      <c r="D55" s="10">
        <f t="shared" si="1"/>
        <v>0.45728082530043346</v>
      </c>
      <c r="E55" s="10">
        <f t="shared" si="2"/>
        <v>427.19174699566497</v>
      </c>
      <c r="F55" s="10">
        <f t="shared" si="3"/>
        <v>7.6451202705517289</v>
      </c>
      <c r="G55" s="10">
        <f t="shared" si="4"/>
        <v>171.49739414267677</v>
      </c>
      <c r="H55" s="204">
        <f t="shared" si="9"/>
        <v>0.76451202705517285</v>
      </c>
      <c r="I55" s="204"/>
      <c r="J55" s="204">
        <f t="shared" si="10"/>
        <v>0.76115401163771135</v>
      </c>
      <c r="K55" s="204"/>
      <c r="L55" s="39">
        <f t="shared" si="5"/>
        <v>216.2437835654591</v>
      </c>
      <c r="M55" s="6">
        <f t="shared" si="6"/>
        <v>-5.9809636671916975</v>
      </c>
      <c r="N55" s="39">
        <f t="shared" si="7"/>
        <v>243.27212841315264</v>
      </c>
      <c r="O55" s="42">
        <f t="shared" si="8"/>
        <v>5.770490614414193</v>
      </c>
    </row>
    <row r="56" spans="1:15" x14ac:dyDescent="0.25">
      <c r="A56" s="12">
        <v>240</v>
      </c>
      <c r="B56" s="14">
        <f>'RTD Resistance @ Temperature'!G47</f>
        <v>952.35</v>
      </c>
      <c r="C56" s="10">
        <f t="shared" si="0"/>
        <v>4.5652302930421321E-4</v>
      </c>
      <c r="D56" s="10">
        <f t="shared" si="1"/>
        <v>0.45652302930421323</v>
      </c>
      <c r="E56" s="10">
        <f t="shared" si="2"/>
        <v>434.76970695786747</v>
      </c>
      <c r="F56" s="10">
        <f t="shared" si="3"/>
        <v>7.5779599622024989</v>
      </c>
      <c r="G56" s="10">
        <f t="shared" si="4"/>
        <v>179.07535410487927</v>
      </c>
      <c r="H56" s="204">
        <f t="shared" si="9"/>
        <v>0.75779599622024985</v>
      </c>
      <c r="I56" s="204"/>
      <c r="J56" s="204">
        <f t="shared" si="10"/>
        <v>0.75654227056222401</v>
      </c>
      <c r="K56" s="204"/>
      <c r="L56" s="39">
        <f t="shared" si="5"/>
        <v>224.90965869696203</v>
      </c>
      <c r="M56" s="6">
        <f t="shared" si="6"/>
        <v>-6.2876422095991567</v>
      </c>
      <c r="N56" s="39">
        <f t="shared" si="7"/>
        <v>253.02115265349647</v>
      </c>
      <c r="O56" s="42">
        <f t="shared" si="8"/>
        <v>5.4254802722901969</v>
      </c>
    </row>
    <row r="57" spans="1:15" x14ac:dyDescent="0.25">
      <c r="A57" s="12">
        <v>250</v>
      </c>
      <c r="B57" s="14">
        <f>'RTD Resistance @ Temperature'!G48</f>
        <v>970.5</v>
      </c>
      <c r="C57" s="10">
        <f t="shared" si="0"/>
        <v>4.5576774075930908E-4</v>
      </c>
      <c r="D57" s="10">
        <f t="shared" si="1"/>
        <v>0.45576774075930909</v>
      </c>
      <c r="E57" s="10">
        <f t="shared" si="2"/>
        <v>442.32259240690945</v>
      </c>
      <c r="F57" s="10">
        <f t="shared" si="3"/>
        <v>7.5528854490419803</v>
      </c>
      <c r="G57" s="10">
        <f t="shared" si="4"/>
        <v>186.62823955392125</v>
      </c>
      <c r="H57" s="204">
        <f t="shared" si="9"/>
        <v>0.75528854490419806</v>
      </c>
      <c r="I57" s="204"/>
      <c r="J57" s="204">
        <f t="shared" si="10"/>
        <v>0.75197062673476578</v>
      </c>
      <c r="K57" s="204"/>
      <c r="L57" s="39">
        <f t="shared" si="5"/>
        <v>233.54685954130639</v>
      </c>
      <c r="M57" s="6">
        <f t="shared" si="6"/>
        <v>-6.5812561834774437</v>
      </c>
      <c r="N57" s="39">
        <f t="shared" si="7"/>
        <v>262.73791860297626</v>
      </c>
      <c r="O57" s="42">
        <f t="shared" si="8"/>
        <v>5.0951674411905064</v>
      </c>
    </row>
    <row r="58" spans="1:15" x14ac:dyDescent="0.25">
      <c r="A58" s="12">
        <v>260</v>
      </c>
      <c r="B58" s="14">
        <f>'RTD Resistance @ Temperature'!G49</f>
        <v>988.55000000000007</v>
      </c>
      <c r="C58" s="10">
        <f t="shared" si="0"/>
        <v>4.5501908805074375E-4</v>
      </c>
      <c r="D58" s="10">
        <f t="shared" si="1"/>
        <v>0.45501908805074376</v>
      </c>
      <c r="E58" s="10">
        <f t="shared" si="2"/>
        <v>449.80911949256279</v>
      </c>
      <c r="F58" s="10">
        <f t="shared" si="3"/>
        <v>7.4865270856533357</v>
      </c>
      <c r="G58" s="10">
        <f t="shared" si="4"/>
        <v>194.11476663957458</v>
      </c>
      <c r="H58" s="204">
        <f t="shared" si="9"/>
        <v>0.74865270856533361</v>
      </c>
      <c r="I58" s="204"/>
      <c r="J58" s="204">
        <f t="shared" si="10"/>
        <v>0.74639315018661989</v>
      </c>
      <c r="K58" s="204"/>
      <c r="L58" s="39">
        <f t="shared" si="5"/>
        <v>242.10817541213214</v>
      </c>
      <c r="M58" s="6">
        <f t="shared" si="6"/>
        <v>-6.8814709953337925</v>
      </c>
      <c r="N58" s="39">
        <f t="shared" si="7"/>
        <v>272.3693147040467</v>
      </c>
      <c r="O58" s="42">
        <f t="shared" si="8"/>
        <v>4.7574287323256543</v>
      </c>
    </row>
    <row r="59" spans="1:15" x14ac:dyDescent="0.25">
      <c r="A59" s="12">
        <v>270</v>
      </c>
      <c r="B59" s="14">
        <f>'RTD Resistance @ Temperature'!G50</f>
        <v>1006.55</v>
      </c>
      <c r="C59" s="10">
        <f t="shared" si="0"/>
        <v>4.5427495445893583E-4</v>
      </c>
      <c r="D59" s="10">
        <f t="shared" si="1"/>
        <v>0.45427495445893584</v>
      </c>
      <c r="E59" s="10">
        <f t="shared" si="2"/>
        <v>457.25045541064185</v>
      </c>
      <c r="F59" s="10">
        <f t="shared" si="3"/>
        <v>7.4413359180790621</v>
      </c>
      <c r="G59" s="10">
        <f t="shared" si="4"/>
        <v>201.55610255765365</v>
      </c>
      <c r="H59" s="204">
        <f t="shared" si="9"/>
        <v>0.74413359180790617</v>
      </c>
      <c r="I59" s="204"/>
      <c r="J59" s="204">
        <f t="shared" si="10"/>
        <v>0.7418901635187154</v>
      </c>
      <c r="K59" s="204"/>
      <c r="L59" s="39">
        <f t="shared" si="5"/>
        <v>250.61781233279206</v>
      </c>
      <c r="M59" s="6">
        <f t="shared" si="6"/>
        <v>-7.1785880248918312</v>
      </c>
      <c r="N59" s="39">
        <f t="shared" si="7"/>
        <v>281.9425724947634</v>
      </c>
      <c r="O59" s="42">
        <f t="shared" si="8"/>
        <v>4.4231749980605173</v>
      </c>
    </row>
    <row r="60" spans="1:15" x14ac:dyDescent="0.25">
      <c r="A60" s="12">
        <v>280</v>
      </c>
      <c r="B60" s="14">
        <f>'RTD Resistance @ Temperature'!G51</f>
        <v>1024.5</v>
      </c>
      <c r="C60" s="10">
        <f t="shared" si="0"/>
        <v>4.535353077237063E-4</v>
      </c>
      <c r="D60" s="10">
        <f t="shared" si="1"/>
        <v>0.45353530772370632</v>
      </c>
      <c r="E60" s="10">
        <f t="shared" si="2"/>
        <v>464.64692276293709</v>
      </c>
      <c r="F60" s="10">
        <f t="shared" si="3"/>
        <v>7.3964673522952467</v>
      </c>
      <c r="G60" s="10">
        <f t="shared" si="4"/>
        <v>208.95256990994889</v>
      </c>
      <c r="H60" s="204">
        <f t="shared" si="9"/>
        <v>0.73964673522952462</v>
      </c>
      <c r="I60" s="204"/>
      <c r="J60" s="204">
        <f t="shared" si="10"/>
        <v>0.73741927105306782</v>
      </c>
      <c r="K60" s="204"/>
      <c r="L60" s="39">
        <f t="shared" si="5"/>
        <v>259.07613921877879</v>
      </c>
      <c r="M60" s="6">
        <f t="shared" si="6"/>
        <v>-7.4728074218647178</v>
      </c>
      <c r="N60" s="39">
        <f t="shared" si="7"/>
        <v>291.45810700142505</v>
      </c>
      <c r="O60" s="42">
        <f t="shared" si="8"/>
        <v>4.0921810719375173</v>
      </c>
    </row>
    <row r="61" spans="1:15" x14ac:dyDescent="0.25">
      <c r="A61" s="12">
        <v>290</v>
      </c>
      <c r="B61" s="14">
        <f>'RTD Resistance @ Temperature'!G52</f>
        <v>1042.3999999999999</v>
      </c>
      <c r="C61" s="10">
        <f t="shared" si="0"/>
        <v>4.5280011591682968E-4</v>
      </c>
      <c r="D61" s="10">
        <f t="shared" si="1"/>
        <v>0.45280011591682967</v>
      </c>
      <c r="E61" s="10">
        <f t="shared" si="2"/>
        <v>471.99884083170321</v>
      </c>
      <c r="F61" s="10">
        <f t="shared" si="3"/>
        <v>7.3519180687661105</v>
      </c>
      <c r="G61" s="10">
        <f t="shared" si="4"/>
        <v>216.304487978715</v>
      </c>
      <c r="H61" s="204">
        <f t="shared" si="9"/>
        <v>0.73519180687661101</v>
      </c>
      <c r="I61" s="204"/>
      <c r="J61" s="204">
        <f t="shared" si="10"/>
        <v>0.73298014290465685</v>
      </c>
      <c r="K61" s="204"/>
      <c r="L61" s="39">
        <f t="shared" si="5"/>
        <v>267.48352118948668</v>
      </c>
      <c r="M61" s="6">
        <f t="shared" si="6"/>
        <v>-7.764303038108042</v>
      </c>
      <c r="N61" s="39">
        <f t="shared" si="7"/>
        <v>300.91632897975688</v>
      </c>
      <c r="O61" s="42">
        <f t="shared" si="8"/>
        <v>3.7642513723299595</v>
      </c>
    </row>
    <row r="62" spans="1:15" x14ac:dyDescent="0.25">
      <c r="A62" s="12">
        <v>300</v>
      </c>
      <c r="B62" s="14">
        <f>'RTD Resistance @ Temperature'!G53</f>
        <v>1060.25</v>
      </c>
      <c r="C62" s="10">
        <f t="shared" si="0"/>
        <v>4.5206934743789696E-4</v>
      </c>
      <c r="D62" s="10">
        <f t="shared" si="1"/>
        <v>0.45206934743789695</v>
      </c>
      <c r="E62" s="10">
        <f t="shared" si="2"/>
        <v>479.30652562103023</v>
      </c>
      <c r="F62" s="10">
        <f t="shared" si="3"/>
        <v>7.3076847893270269</v>
      </c>
      <c r="G62" s="10">
        <f t="shared" si="4"/>
        <v>223.61217276804203</v>
      </c>
      <c r="H62" s="204">
        <f t="shared" si="9"/>
        <v>0.73076847893270269</v>
      </c>
      <c r="I62" s="204"/>
      <c r="J62" s="204">
        <f t="shared" si="10"/>
        <v>0.72857245329435893</v>
      </c>
      <c r="K62" s="204"/>
      <c r="L62" s="39">
        <f t="shared" si="5"/>
        <v>275.84031961552182</v>
      </c>
      <c r="M62" s="6">
        <f t="shared" si="6"/>
        <v>-8.0532267948260596</v>
      </c>
      <c r="N62" s="39">
        <f t="shared" si="7"/>
        <v>310.31764496813469</v>
      </c>
      <c r="O62" s="42">
        <f t="shared" si="8"/>
        <v>3.4392149893782289</v>
      </c>
    </row>
    <row r="63" spans="1:15" x14ac:dyDescent="0.25">
      <c r="A63" s="12">
        <v>310</v>
      </c>
      <c r="B63" s="14">
        <f>'RTD Resistance @ Temperature'!G54</f>
        <v>1078.0500000000002</v>
      </c>
      <c r="C63" s="10">
        <f t="shared" si="0"/>
        <v>4.5134297101024099E-4</v>
      </c>
      <c r="D63" s="10">
        <f t="shared" si="1"/>
        <v>0.45134297101024101</v>
      </c>
      <c r="E63" s="10">
        <f t="shared" si="2"/>
        <v>486.57028989759038</v>
      </c>
      <c r="F63" s="10">
        <f t="shared" si="3"/>
        <v>7.2637642765601527</v>
      </c>
      <c r="G63" s="10">
        <f t="shared" si="4"/>
        <v>230.87593704460218</v>
      </c>
      <c r="H63" s="204">
        <f t="shared" si="9"/>
        <v>0.72637642765601529</v>
      </c>
      <c r="I63" s="204"/>
      <c r="J63" s="204">
        <f t="shared" si="10"/>
        <v>0.72318057968345217</v>
      </c>
      <c r="K63" s="204"/>
      <c r="L63" s="39">
        <f t="shared" si="5"/>
        <v>284.14689216529905</v>
      </c>
      <c r="M63" s="6">
        <f t="shared" si="6"/>
        <v>-8.3397122047422414</v>
      </c>
      <c r="N63" s="39">
        <f t="shared" si="7"/>
        <v>319.66245734000512</v>
      </c>
      <c r="O63" s="42">
        <f t="shared" si="8"/>
        <v>3.1169217225822963</v>
      </c>
    </row>
    <row r="64" spans="1:15" ht="15.75" thickBot="1" x14ac:dyDescent="0.3">
      <c r="A64" s="3">
        <v>320</v>
      </c>
      <c r="B64" s="15">
        <f>'RTD Resistance @ Temperature'!G55</f>
        <v>1095.75</v>
      </c>
      <c r="C64" s="11">
        <f t="shared" si="0"/>
        <v>4.5062298627853006E-4</v>
      </c>
      <c r="D64" s="11">
        <f t="shared" si="1"/>
        <v>0.45062298627853004</v>
      </c>
      <c r="E64" s="11">
        <f t="shared" si="2"/>
        <v>493.77013721469928</v>
      </c>
      <c r="F64" s="11">
        <f>E64-E63</f>
        <v>7.1998473171088904</v>
      </c>
      <c r="G64" s="11">
        <f t="shared" si="4"/>
        <v>238.07578436171107</v>
      </c>
      <c r="H64" s="212">
        <f>F64/(A64-A63)</f>
        <v>0.71998473171088906</v>
      </c>
      <c r="I64" s="212"/>
      <c r="J64" s="212">
        <f>(E64-E63) / (A64-A63)</f>
        <v>0.71998473171088906</v>
      </c>
      <c r="K64" s="212"/>
      <c r="L64" s="43">
        <f t="shared" si="5"/>
        <v>292.3803716409306</v>
      </c>
      <c r="M64" s="7">
        <f t="shared" si="6"/>
        <v>-8.631133862209186</v>
      </c>
      <c r="N64" s="43">
        <f t="shared" si="7"/>
        <v>328.92504072278513</v>
      </c>
      <c r="O64" s="44">
        <f t="shared" si="8"/>
        <v>2.7890752258703522</v>
      </c>
    </row>
  </sheetData>
  <sheetProtection algorithmName="SHA-512" hashValue="qdt0IxjRQlO6VLAWR3gayeE2jozIoVeSo0qD9P+DZO5hj/Zr5g+7RfMlz1ZUu11/Sf2zfDl5ZUTRdDEWk7sTZg==" saltValue="pwgTZlE9KFvXdaTrCk7tgw==" spinCount="100000" sheet="1" objects="1" scenarios="1"/>
  <mergeCells count="124">
    <mergeCell ref="A1:K1"/>
    <mergeCell ref="L1:N1"/>
    <mergeCell ref="F2:F8"/>
    <mergeCell ref="H5:I5"/>
    <mergeCell ref="H6:I6"/>
    <mergeCell ref="H7:I7"/>
    <mergeCell ref="G10:G11"/>
    <mergeCell ref="H10:I11"/>
    <mergeCell ref="J10:K11"/>
    <mergeCell ref="L10:L11"/>
    <mergeCell ref="M10:M11"/>
    <mergeCell ref="O10:O11"/>
    <mergeCell ref="A10:A11"/>
    <mergeCell ref="B10:B11"/>
    <mergeCell ref="C10:C11"/>
    <mergeCell ref="D10:D11"/>
    <mergeCell ref="E10:E11"/>
    <mergeCell ref="F10:F11"/>
    <mergeCell ref="H15:I15"/>
    <mergeCell ref="J15:K15"/>
    <mergeCell ref="H16:I16"/>
    <mergeCell ref="J16:K16"/>
    <mergeCell ref="H17:I17"/>
    <mergeCell ref="J17:K17"/>
    <mergeCell ref="H12:I12"/>
    <mergeCell ref="J12:K12"/>
    <mergeCell ref="H13:I13"/>
    <mergeCell ref="J13:K13"/>
    <mergeCell ref="H14:I14"/>
    <mergeCell ref="J14:K14"/>
    <mergeCell ref="H21:I21"/>
    <mergeCell ref="J21:K21"/>
    <mergeCell ref="H22:I22"/>
    <mergeCell ref="J22:K22"/>
    <mergeCell ref="H23:I23"/>
    <mergeCell ref="J23:K23"/>
    <mergeCell ref="H18:I18"/>
    <mergeCell ref="J18:K18"/>
    <mergeCell ref="H19:I19"/>
    <mergeCell ref="J19:K19"/>
    <mergeCell ref="H20:I20"/>
    <mergeCell ref="J20:K20"/>
    <mergeCell ref="H27:I27"/>
    <mergeCell ref="J27:K27"/>
    <mergeCell ref="H28:I28"/>
    <mergeCell ref="J28:K28"/>
    <mergeCell ref="H29:I29"/>
    <mergeCell ref="J29:K29"/>
    <mergeCell ref="H24:I24"/>
    <mergeCell ref="J24:K24"/>
    <mergeCell ref="H25:I25"/>
    <mergeCell ref="J25:K25"/>
    <mergeCell ref="H26:I26"/>
    <mergeCell ref="J26:K26"/>
    <mergeCell ref="H33:I33"/>
    <mergeCell ref="J33:K33"/>
    <mergeCell ref="H34:I34"/>
    <mergeCell ref="J34:K34"/>
    <mergeCell ref="H35:I35"/>
    <mergeCell ref="J35:K35"/>
    <mergeCell ref="H30:I30"/>
    <mergeCell ref="J30:K30"/>
    <mergeCell ref="H31:I31"/>
    <mergeCell ref="J31:K31"/>
    <mergeCell ref="H32:I32"/>
    <mergeCell ref="J32:K32"/>
    <mergeCell ref="H39:I39"/>
    <mergeCell ref="J39:K39"/>
    <mergeCell ref="H40:I40"/>
    <mergeCell ref="J40:K40"/>
    <mergeCell ref="H41:I41"/>
    <mergeCell ref="J41:K41"/>
    <mergeCell ref="H36:I36"/>
    <mergeCell ref="J36:K36"/>
    <mergeCell ref="H37:I37"/>
    <mergeCell ref="J37:K37"/>
    <mergeCell ref="H38:I38"/>
    <mergeCell ref="J38:K38"/>
    <mergeCell ref="H45:I45"/>
    <mergeCell ref="J45:K45"/>
    <mergeCell ref="H46:I46"/>
    <mergeCell ref="J46:K46"/>
    <mergeCell ref="H47:I47"/>
    <mergeCell ref="J47:K47"/>
    <mergeCell ref="H42:I42"/>
    <mergeCell ref="J42:K42"/>
    <mergeCell ref="H43:I43"/>
    <mergeCell ref="J43:K43"/>
    <mergeCell ref="H44:I44"/>
    <mergeCell ref="J44:K44"/>
    <mergeCell ref="H51:I51"/>
    <mergeCell ref="J51:K51"/>
    <mergeCell ref="H52:I52"/>
    <mergeCell ref="J52:K52"/>
    <mergeCell ref="H53:I53"/>
    <mergeCell ref="J53:K53"/>
    <mergeCell ref="H48:I48"/>
    <mergeCell ref="J48:K48"/>
    <mergeCell ref="H49:I49"/>
    <mergeCell ref="J49:K49"/>
    <mergeCell ref="H50:I50"/>
    <mergeCell ref="J50:K50"/>
    <mergeCell ref="H57:I57"/>
    <mergeCell ref="J57:K57"/>
    <mergeCell ref="H58:I58"/>
    <mergeCell ref="J58:K58"/>
    <mergeCell ref="H59:I59"/>
    <mergeCell ref="J59:K59"/>
    <mergeCell ref="H54:I54"/>
    <mergeCell ref="J54:K54"/>
    <mergeCell ref="H55:I55"/>
    <mergeCell ref="J55:K55"/>
    <mergeCell ref="H56:I56"/>
    <mergeCell ref="J56:K56"/>
    <mergeCell ref="H63:I63"/>
    <mergeCell ref="J63:K63"/>
    <mergeCell ref="H64:I64"/>
    <mergeCell ref="J64:K64"/>
    <mergeCell ref="H60:I60"/>
    <mergeCell ref="J60:K60"/>
    <mergeCell ref="H61:I61"/>
    <mergeCell ref="J61:K61"/>
    <mergeCell ref="H62:I62"/>
    <mergeCell ref="J62:K6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9FBE5-3BD7-445B-AA88-DE543F07EC12}">
  <dimension ref="A1:P64"/>
  <sheetViews>
    <sheetView workbookViewId="0">
      <selection activeCell="L34" sqref="L34"/>
    </sheetView>
  </sheetViews>
  <sheetFormatPr defaultRowHeight="15" x14ac:dyDescent="0.25"/>
  <cols>
    <col min="3" max="3" width="10.5703125" customWidth="1"/>
    <col min="4" max="4" width="10.5703125" bestFit="1" customWidth="1"/>
    <col min="5" max="5" width="12.5703125" bestFit="1" customWidth="1"/>
    <col min="6" max="6" width="14.42578125" customWidth="1"/>
    <col min="7" max="7" width="13.7109375" customWidth="1"/>
    <col min="12" max="12" width="18.7109375" customWidth="1"/>
    <col min="13" max="13" width="18.140625" customWidth="1"/>
    <col min="14" max="14" width="18.42578125" customWidth="1"/>
    <col min="15" max="15" width="18.28515625" customWidth="1"/>
  </cols>
  <sheetData>
    <row r="1" spans="1:15" ht="15.75" thickBot="1" x14ac:dyDescent="0.3">
      <c r="A1" s="181" t="s">
        <v>6</v>
      </c>
      <c r="B1" s="182"/>
      <c r="C1" s="182"/>
      <c r="D1" s="182"/>
      <c r="E1" s="182"/>
      <c r="F1" s="182"/>
      <c r="G1" s="182"/>
      <c r="H1" s="182"/>
      <c r="I1" s="182"/>
      <c r="J1" s="182"/>
      <c r="K1" s="183"/>
      <c r="L1" s="181" t="s">
        <v>55</v>
      </c>
      <c r="M1" s="182"/>
      <c r="N1" s="183"/>
    </row>
    <row r="2" spans="1:15" ht="18" x14ac:dyDescent="0.35">
      <c r="A2" s="23" t="s">
        <v>31</v>
      </c>
      <c r="F2" s="198" t="s">
        <v>16</v>
      </c>
      <c r="G2" s="1" t="s">
        <v>9</v>
      </c>
      <c r="J2">
        <f>0.0005*1000</f>
        <v>0.5</v>
      </c>
      <c r="K2" s="24" t="s">
        <v>2</v>
      </c>
      <c r="L2" s="33" t="s">
        <v>56</v>
      </c>
      <c r="M2" s="34">
        <f>E32</f>
        <v>454.5454545454545</v>
      </c>
      <c r="N2" s="35" t="s">
        <v>20</v>
      </c>
    </row>
    <row r="3" spans="1:15" ht="18" x14ac:dyDescent="0.35">
      <c r="A3" s="25"/>
      <c r="B3" s="1" t="s">
        <v>32</v>
      </c>
      <c r="F3" s="199"/>
      <c r="G3" s="1" t="s">
        <v>10</v>
      </c>
      <c r="J3">
        <f>$D$4-$J$2</f>
        <v>4.5</v>
      </c>
      <c r="K3" s="24" t="s">
        <v>2</v>
      </c>
      <c r="L3" s="33" t="s">
        <v>27</v>
      </c>
      <c r="M3" s="34">
        <f>$E$34</f>
        <v>486.50917592684539</v>
      </c>
      <c r="N3" s="35" t="s">
        <v>20</v>
      </c>
    </row>
    <row r="4" spans="1:15" ht="18" x14ac:dyDescent="0.35">
      <c r="A4" s="25"/>
      <c r="B4" s="1"/>
      <c r="C4" s="1" t="s">
        <v>3</v>
      </c>
      <c r="D4">
        <f>'RTD Data'!$E$3</f>
        <v>5</v>
      </c>
      <c r="E4" s="20" t="s">
        <v>2</v>
      </c>
      <c r="F4" s="199"/>
      <c r="G4" s="21" t="s">
        <v>11</v>
      </c>
      <c r="K4" s="26"/>
      <c r="L4" s="33" t="s">
        <v>26</v>
      </c>
      <c r="M4" s="34">
        <f>$J$34</f>
        <v>1.5829070317516141</v>
      </c>
      <c r="N4" s="35" t="s">
        <v>23</v>
      </c>
    </row>
    <row r="5" spans="1:15" ht="18" x14ac:dyDescent="0.35">
      <c r="A5" s="25"/>
      <c r="C5" t="s">
        <v>7</v>
      </c>
      <c r="D5" s="22">
        <f>'RTD Data'!$F$8</f>
        <v>5000</v>
      </c>
      <c r="E5" s="20" t="s">
        <v>0</v>
      </c>
      <c r="F5" s="199"/>
      <c r="G5" s="1"/>
      <c r="H5" s="201" t="s">
        <v>12</v>
      </c>
      <c r="I5" s="201"/>
      <c r="J5">
        <f>$J$3/2</f>
        <v>2.25</v>
      </c>
      <c r="K5" s="24" t="s">
        <v>2</v>
      </c>
      <c r="L5" s="33" t="s">
        <v>42</v>
      </c>
      <c r="M5" s="36">
        <f>'RTD Data'!S4</f>
        <v>200</v>
      </c>
      <c r="N5" s="37" t="s">
        <v>21</v>
      </c>
    </row>
    <row r="6" spans="1:15" ht="18" x14ac:dyDescent="0.35">
      <c r="A6" s="25"/>
      <c r="C6" t="s">
        <v>8</v>
      </c>
      <c r="D6" s="22">
        <f>'RTD Data'!$F$7</f>
        <v>5000</v>
      </c>
      <c r="E6" s="20" t="s">
        <v>0</v>
      </c>
      <c r="F6" s="199"/>
      <c r="H6" s="202" t="s">
        <v>13</v>
      </c>
      <c r="I6" s="202"/>
      <c r="J6" s="22">
        <f>J5/0.0005</f>
        <v>4500</v>
      </c>
      <c r="K6" s="24" t="s">
        <v>0</v>
      </c>
      <c r="L6" s="33" t="s">
        <v>46</v>
      </c>
      <c r="M6" s="34">
        <f>VLOOKUP(M5,'PT1000 Tables'!12:64,5)</f>
        <v>747.79310462129843</v>
      </c>
      <c r="N6" s="35" t="s">
        <v>20</v>
      </c>
    </row>
    <row r="7" spans="1:15" ht="18" x14ac:dyDescent="0.35">
      <c r="A7" s="23" t="s">
        <v>39</v>
      </c>
      <c r="D7" s="22"/>
      <c r="E7" s="20"/>
      <c r="F7" s="199"/>
      <c r="H7" s="202" t="s">
        <v>14</v>
      </c>
      <c r="I7" s="202"/>
      <c r="J7" s="22">
        <f>J6</f>
        <v>4500</v>
      </c>
      <c r="K7" s="24" t="s">
        <v>0</v>
      </c>
      <c r="L7" s="18" t="s">
        <v>43</v>
      </c>
      <c r="M7" s="34">
        <f>VLOOKUP(M5-10,12:64,10)</f>
        <v>1.3428251612306041</v>
      </c>
      <c r="N7" s="35" t="s">
        <v>23</v>
      </c>
    </row>
    <row r="8" spans="1:15" ht="18.75" thickBot="1" x14ac:dyDescent="0.4">
      <c r="A8" s="27" t="s">
        <v>34</v>
      </c>
      <c r="B8" s="28"/>
      <c r="C8" s="29"/>
      <c r="D8" s="30"/>
      <c r="E8" s="31"/>
      <c r="F8" s="200"/>
      <c r="G8" s="29"/>
      <c r="H8" s="29"/>
      <c r="I8" s="29"/>
      <c r="J8" s="29"/>
      <c r="K8" s="32"/>
      <c r="L8" s="38"/>
      <c r="M8" s="29"/>
      <c r="N8" s="32"/>
    </row>
    <row r="9" spans="1:15" ht="15.75" thickBot="1" x14ac:dyDescent="0.3"/>
    <row r="10" spans="1:15" ht="15" customHeight="1" x14ac:dyDescent="0.25">
      <c r="A10" s="179" t="s">
        <v>1</v>
      </c>
      <c r="B10" s="179" t="s">
        <v>28</v>
      </c>
      <c r="C10" s="196" t="s">
        <v>29</v>
      </c>
      <c r="D10" s="196" t="s">
        <v>30</v>
      </c>
      <c r="E10" s="196" t="s">
        <v>24</v>
      </c>
      <c r="F10" s="196" t="s">
        <v>37</v>
      </c>
      <c r="G10" s="196" t="s">
        <v>38</v>
      </c>
      <c r="H10" s="205" t="s">
        <v>33</v>
      </c>
      <c r="I10" s="206"/>
      <c r="J10" s="205" t="s">
        <v>35</v>
      </c>
      <c r="K10" s="206"/>
      <c r="L10" s="205" t="s">
        <v>48</v>
      </c>
      <c r="M10" s="196" t="s">
        <v>40</v>
      </c>
      <c r="N10" s="19"/>
      <c r="O10" s="196" t="s">
        <v>49</v>
      </c>
    </row>
    <row r="11" spans="1:15" ht="18.75" thickBot="1" x14ac:dyDescent="0.4">
      <c r="A11" s="203"/>
      <c r="B11" s="180"/>
      <c r="C11" s="197"/>
      <c r="D11" s="197"/>
      <c r="E11" s="197"/>
      <c r="F11" s="197"/>
      <c r="G11" s="197"/>
      <c r="H11" s="207"/>
      <c r="I11" s="208"/>
      <c r="J11" s="207"/>
      <c r="K11" s="208"/>
      <c r="L11" s="207"/>
      <c r="M11" s="197"/>
      <c r="N11" s="16" t="s">
        <v>41</v>
      </c>
      <c r="O11" s="197"/>
    </row>
    <row r="12" spans="1:15" x14ac:dyDescent="0.25">
      <c r="A12" s="4">
        <v>-200</v>
      </c>
      <c r="B12" s="17">
        <f>'RTD Resistance @ Temperature'!L3</f>
        <v>185.2</v>
      </c>
      <c r="C12" s="9">
        <f>$D$4 / ($D$5 + $D$6 + B12)</f>
        <v>4.9090837686054274E-4</v>
      </c>
      <c r="D12" s="9">
        <f>C12*1000</f>
        <v>0.49090837686054273</v>
      </c>
      <c r="E12" s="9">
        <f>B12*D12</f>
        <v>90.916231394572506</v>
      </c>
      <c r="F12" s="9">
        <f>E13-E12</f>
        <v>20.685892125465045</v>
      </c>
      <c r="G12" s="9">
        <f>E12-$E$34</f>
        <v>-395.5929445322729</v>
      </c>
      <c r="H12" s="209">
        <f>F12/(A13-A12)</f>
        <v>2.0685892125465046</v>
      </c>
      <c r="I12" s="209"/>
      <c r="J12" s="209">
        <f>(E13-E12)/(A13-A12)</f>
        <v>2.0685892125465046</v>
      </c>
      <c r="K12" s="209"/>
      <c r="L12" s="40">
        <f>($E12-$M$2)/$M$4</f>
        <v>-229.72241316566584</v>
      </c>
      <c r="M12" s="8">
        <f>(L12-$A12)/$A12 * 100</f>
        <v>14.861206582832921</v>
      </c>
      <c r="N12" s="40">
        <f>($E12-$M$2)/$M$7</f>
        <v>-270.79416862999619</v>
      </c>
      <c r="O12" s="41">
        <f>(N12-$A12)/$A12 * 100</f>
        <v>35.397084314998096</v>
      </c>
    </row>
    <row r="13" spans="1:15" x14ac:dyDescent="0.25">
      <c r="A13" s="2">
        <v>-190</v>
      </c>
      <c r="B13" s="14">
        <f>'RTD Resistance @ Temperature'!L4</f>
        <v>228.29999999999998</v>
      </c>
      <c r="C13" s="10">
        <f t="shared" ref="C13:C64" si="0">$D$4 / ($D$5 + $D$6 + B13)</f>
        <v>4.8883978764799633E-4</v>
      </c>
      <c r="D13" s="10">
        <f t="shared" ref="D13:D64" si="1">C13*1000</f>
        <v>0.48883978764799635</v>
      </c>
      <c r="E13" s="10">
        <f t="shared" ref="E13:E64" si="2">B13*D13</f>
        <v>111.60212352003755</v>
      </c>
      <c r="F13" s="10">
        <f t="shared" ref="F13:F63" si="3">E13-E12</f>
        <v>20.685892125465045</v>
      </c>
      <c r="G13" s="10">
        <f t="shared" ref="G13:G64" si="4">E13-$E$34</f>
        <v>-374.90705240680785</v>
      </c>
      <c r="H13" s="204">
        <f>F13/(A13-A12)</f>
        <v>2.0685892125465046</v>
      </c>
      <c r="I13" s="204"/>
      <c r="J13" s="204">
        <f>(E14-E12)/(A14-A12)</f>
        <v>2.0504302762454762</v>
      </c>
      <c r="K13" s="204"/>
      <c r="L13" s="39">
        <f t="shared" ref="L13:L64" si="5">($E13-$M$2)/$M$4</f>
        <v>-216.65412064404222</v>
      </c>
      <c r="M13" s="6">
        <f t="shared" ref="M13:M64" si="6">(L13-$A13)/$A13 * 100</f>
        <v>14.028484549495907</v>
      </c>
      <c r="N13" s="39">
        <f t="shared" ref="N13:N64" si="7">($E13-$M$2)/$M$7</f>
        <v>-255.38941399573844</v>
      </c>
      <c r="O13" s="42">
        <f t="shared" ref="O13:O64" si="8">(N13-$A13)/$A13 * 100</f>
        <v>34.415481050388649</v>
      </c>
    </row>
    <row r="14" spans="1:15" x14ac:dyDescent="0.25">
      <c r="A14" s="2">
        <v>-180</v>
      </c>
      <c r="B14" s="14">
        <f>'RTD Resistance @ Temperature'!L5</f>
        <v>271</v>
      </c>
      <c r="C14" s="10">
        <f t="shared" si="0"/>
        <v>4.8680751630805178E-4</v>
      </c>
      <c r="D14" s="10">
        <f t="shared" si="1"/>
        <v>0.4868075163080518</v>
      </c>
      <c r="E14" s="10">
        <f t="shared" si="2"/>
        <v>131.92483691948203</v>
      </c>
      <c r="F14" s="10">
        <f t="shared" si="3"/>
        <v>20.322713399444481</v>
      </c>
      <c r="G14" s="10">
        <f t="shared" si="4"/>
        <v>-354.58433900736338</v>
      </c>
      <c r="H14" s="204">
        <f t="shared" ref="H14:H63" si="9">F14/(A14-A13)</f>
        <v>2.0322713399444483</v>
      </c>
      <c r="I14" s="204"/>
      <c r="J14" s="204">
        <f t="shared" ref="J14:J63" si="10">(E15-E13)/(A15-A13)</f>
        <v>2.0168065782789606</v>
      </c>
      <c r="K14" s="204"/>
      <c r="L14" s="39">
        <f t="shared" si="5"/>
        <v>-203.81526593445403</v>
      </c>
      <c r="M14" s="6">
        <f t="shared" si="6"/>
        <v>13.230703296918907</v>
      </c>
      <c r="N14" s="39">
        <f t="shared" si="7"/>
        <v>-240.25511804553435</v>
      </c>
      <c r="O14" s="42">
        <f t="shared" si="8"/>
        <v>33.475065580852416</v>
      </c>
    </row>
    <row r="15" spans="1:15" x14ac:dyDescent="0.25">
      <c r="A15" s="2">
        <v>-170</v>
      </c>
      <c r="B15" s="14">
        <f>'RTD Resistance @ Temperature'!L6</f>
        <v>313.39999999999998</v>
      </c>
      <c r="C15" s="10">
        <f t="shared" si="0"/>
        <v>4.8480617449143834E-4</v>
      </c>
      <c r="D15" s="10">
        <f t="shared" si="1"/>
        <v>0.48480617449143831</v>
      </c>
      <c r="E15" s="10">
        <f t="shared" si="2"/>
        <v>151.93825508561676</v>
      </c>
      <c r="F15" s="10">
        <f t="shared" si="3"/>
        <v>20.013418166134727</v>
      </c>
      <c r="G15" s="10">
        <f t="shared" si="4"/>
        <v>-334.5709208412286</v>
      </c>
      <c r="H15" s="204">
        <f t="shared" si="9"/>
        <v>2.0013418166134729</v>
      </c>
      <c r="I15" s="204"/>
      <c r="J15" s="204">
        <f t="shared" si="10"/>
        <v>1.9838226614326615</v>
      </c>
      <c r="K15" s="204"/>
      <c r="L15" s="39">
        <f t="shared" si="5"/>
        <v>-191.17180819203165</v>
      </c>
      <c r="M15" s="6">
        <f t="shared" si="6"/>
        <v>12.454004818842145</v>
      </c>
      <c r="N15" s="39">
        <f t="shared" si="7"/>
        <v>-225.35115381850579</v>
      </c>
      <c r="O15" s="42">
        <f t="shared" si="8"/>
        <v>32.559502246179875</v>
      </c>
    </row>
    <row r="16" spans="1:15" x14ac:dyDescent="0.25">
      <c r="A16" s="2">
        <v>-160</v>
      </c>
      <c r="B16" s="14">
        <f>'RTD Resistance @ Temperature'!L7</f>
        <v>355.4</v>
      </c>
      <c r="C16" s="10">
        <f t="shared" si="0"/>
        <v>4.8283987098518647E-4</v>
      </c>
      <c r="D16" s="10">
        <f t="shared" si="1"/>
        <v>0.48283987098518649</v>
      </c>
      <c r="E16" s="10">
        <f t="shared" si="2"/>
        <v>171.60129014813526</v>
      </c>
      <c r="F16" s="10">
        <f t="shared" si="3"/>
        <v>19.663035062518503</v>
      </c>
      <c r="G16" s="10">
        <f t="shared" si="4"/>
        <v>-314.90788577871012</v>
      </c>
      <c r="H16" s="204">
        <f t="shared" si="9"/>
        <v>1.9663035062518504</v>
      </c>
      <c r="I16" s="204"/>
      <c r="J16" s="204">
        <f t="shared" si="10"/>
        <v>1.9537354971714749</v>
      </c>
      <c r="K16" s="204"/>
      <c r="L16" s="39">
        <f t="shared" si="5"/>
        <v>-178.74970463945616</v>
      </c>
      <c r="M16" s="6">
        <f t="shared" si="6"/>
        <v>11.718565399660097</v>
      </c>
      <c r="N16" s="39">
        <f t="shared" si="7"/>
        <v>-210.70811939360814</v>
      </c>
      <c r="O16" s="42">
        <f t="shared" si="8"/>
        <v>31.692574621005086</v>
      </c>
    </row>
    <row r="17" spans="1:16" x14ac:dyDescent="0.25">
      <c r="A17" s="2">
        <v>-150</v>
      </c>
      <c r="B17" s="14">
        <f>'RTD Resistance @ Temperature'!L8</f>
        <v>397.2</v>
      </c>
      <c r="C17" s="10">
        <f t="shared" si="0"/>
        <v>4.8089870349709532E-4</v>
      </c>
      <c r="D17" s="10">
        <f t="shared" si="1"/>
        <v>0.48089870349709535</v>
      </c>
      <c r="E17" s="10">
        <f t="shared" si="2"/>
        <v>191.01296502904626</v>
      </c>
      <c r="F17" s="10">
        <f t="shared" si="3"/>
        <v>19.411674880910994</v>
      </c>
      <c r="G17" s="10">
        <f t="shared" si="4"/>
        <v>-295.49621089779913</v>
      </c>
      <c r="H17" s="204">
        <f t="shared" si="9"/>
        <v>1.9411674880910994</v>
      </c>
      <c r="I17" s="204"/>
      <c r="J17" s="204">
        <f t="shared" si="10"/>
        <v>1.9288062440206049</v>
      </c>
      <c r="K17" s="204"/>
      <c r="L17" s="39">
        <f t="shared" si="5"/>
        <v>-166.48639764066772</v>
      </c>
      <c r="M17" s="6">
        <f t="shared" si="6"/>
        <v>10.990931760445145</v>
      </c>
      <c r="N17" s="39">
        <f t="shared" si="7"/>
        <v>-196.25227254075236</v>
      </c>
      <c r="O17" s="42">
        <f t="shared" si="8"/>
        <v>30.834848360501571</v>
      </c>
    </row>
    <row r="18" spans="1:16" x14ac:dyDescent="0.25">
      <c r="A18" s="2">
        <v>-140</v>
      </c>
      <c r="B18" s="14">
        <f>'RTD Resistance @ Temperature'!L9</f>
        <v>438.8</v>
      </c>
      <c r="C18" s="10">
        <f t="shared" si="0"/>
        <v>4.7898225849714532E-4</v>
      </c>
      <c r="D18" s="10">
        <f t="shared" si="1"/>
        <v>0.47898225849714532</v>
      </c>
      <c r="E18" s="10">
        <f t="shared" si="2"/>
        <v>210.17741502854736</v>
      </c>
      <c r="F18" s="10">
        <f t="shared" si="3"/>
        <v>19.164449999501102</v>
      </c>
      <c r="G18" s="10">
        <f t="shared" si="4"/>
        <v>-276.33176089829806</v>
      </c>
      <c r="H18" s="204">
        <f t="shared" si="9"/>
        <v>1.9164449999501101</v>
      </c>
      <c r="I18" s="204"/>
      <c r="J18" s="204">
        <f t="shared" si="10"/>
        <v>1.8997334279369995</v>
      </c>
      <c r="K18" s="204"/>
      <c r="L18" s="39">
        <f t="shared" si="5"/>
        <v>-154.37927472373045</v>
      </c>
      <c r="M18" s="6">
        <f t="shared" si="6"/>
        <v>10.27091051695032</v>
      </c>
      <c r="N18" s="39">
        <f t="shared" si="7"/>
        <v>-181.98053370772496</v>
      </c>
      <c r="O18" s="42">
        <f t="shared" si="8"/>
        <v>29.986095505517831</v>
      </c>
    </row>
    <row r="19" spans="1:16" x14ac:dyDescent="0.25">
      <c r="A19" s="2">
        <v>-130</v>
      </c>
      <c r="B19" s="14">
        <f>'RTD Resistance @ Temperature'!L10</f>
        <v>480</v>
      </c>
      <c r="C19" s="10">
        <f t="shared" si="0"/>
        <v>4.7709923664122136E-4</v>
      </c>
      <c r="D19" s="10">
        <f t="shared" si="1"/>
        <v>0.47709923664122134</v>
      </c>
      <c r="E19" s="10">
        <f t="shared" si="2"/>
        <v>229.00763358778624</v>
      </c>
      <c r="F19" s="10">
        <f t="shared" si="3"/>
        <v>18.830218559238887</v>
      </c>
      <c r="G19" s="10">
        <f t="shared" si="4"/>
        <v>-257.50154233905914</v>
      </c>
      <c r="H19" s="204">
        <f t="shared" si="9"/>
        <v>1.8830218559238887</v>
      </c>
      <c r="I19" s="204"/>
      <c r="J19" s="204">
        <f t="shared" si="10"/>
        <v>1.8733896586058036</v>
      </c>
      <c r="K19" s="204"/>
      <c r="L19" s="39">
        <f t="shared" si="5"/>
        <v>-142.48330219879844</v>
      </c>
      <c r="M19" s="6">
        <f t="shared" si="6"/>
        <v>9.6025401529218772</v>
      </c>
      <c r="N19" s="39">
        <f t="shared" si="7"/>
        <v>-167.95769655595285</v>
      </c>
      <c r="O19" s="42">
        <f t="shared" si="8"/>
        <v>29.19822811996373</v>
      </c>
    </row>
    <row r="20" spans="1:16" x14ac:dyDescent="0.25">
      <c r="A20" s="2">
        <v>-120</v>
      </c>
      <c r="B20" s="14">
        <f>'RTD Resistance @ Temperature'!L11</f>
        <v>521.1</v>
      </c>
      <c r="C20" s="10">
        <f t="shared" si="0"/>
        <v>4.7523547917993365E-4</v>
      </c>
      <c r="D20" s="10">
        <f t="shared" si="1"/>
        <v>0.47523547917993364</v>
      </c>
      <c r="E20" s="10">
        <f t="shared" si="2"/>
        <v>247.64520820066343</v>
      </c>
      <c r="F20" s="10">
        <f t="shared" si="3"/>
        <v>18.637574612877188</v>
      </c>
      <c r="G20" s="10">
        <f t="shared" si="4"/>
        <v>-238.86396772618195</v>
      </c>
      <c r="H20" s="204">
        <f t="shared" si="9"/>
        <v>1.8637574612877188</v>
      </c>
      <c r="I20" s="204"/>
      <c r="J20" s="204">
        <f t="shared" si="10"/>
        <v>1.8497821168973416</v>
      </c>
      <c r="K20" s="204"/>
      <c r="L20" s="39">
        <f t="shared" si="5"/>
        <v>-130.70903230231991</v>
      </c>
      <c r="M20" s="6">
        <f t="shared" si="6"/>
        <v>8.9241935852665932</v>
      </c>
      <c r="N20" s="39">
        <f t="shared" si="7"/>
        <v>-154.07832107880793</v>
      </c>
      <c r="O20" s="42">
        <f t="shared" si="8"/>
        <v>28.39860089900661</v>
      </c>
    </row>
    <row r="21" spans="1:16" x14ac:dyDescent="0.25">
      <c r="A21" s="2">
        <v>-110</v>
      </c>
      <c r="B21" s="14">
        <f>'RTD Resistance @ Temperature'!L12</f>
        <v>561.9</v>
      </c>
      <c r="C21" s="10">
        <f t="shared" si="0"/>
        <v>4.7339967240742672E-4</v>
      </c>
      <c r="D21" s="10">
        <f t="shared" si="1"/>
        <v>0.4733996724074267</v>
      </c>
      <c r="E21" s="10">
        <f t="shared" si="2"/>
        <v>266.00327592573308</v>
      </c>
      <c r="F21" s="10">
        <f t="shared" si="3"/>
        <v>18.358067725069645</v>
      </c>
      <c r="G21" s="10">
        <f t="shared" si="4"/>
        <v>-220.50590000111231</v>
      </c>
      <c r="H21" s="204">
        <f t="shared" si="9"/>
        <v>1.8358067725069644</v>
      </c>
      <c r="I21" s="204"/>
      <c r="J21" s="204">
        <f t="shared" si="10"/>
        <v>1.8265185687078911</v>
      </c>
      <c r="K21" s="204"/>
      <c r="L21" s="39">
        <f t="shared" si="5"/>
        <v>-119.1113406142901</v>
      </c>
      <c r="M21" s="6">
        <f t="shared" si="6"/>
        <v>8.2830369220819087</v>
      </c>
      <c r="N21" s="39">
        <f t="shared" si="7"/>
        <v>-140.40709398603752</v>
      </c>
      <c r="O21" s="42">
        <f t="shared" si="8"/>
        <v>27.642812714579566</v>
      </c>
    </row>
    <row r="22" spans="1:16" x14ac:dyDescent="0.25">
      <c r="A22" s="2">
        <v>-100</v>
      </c>
      <c r="B22" s="14">
        <f>'RTD Resistance @ Temperature'!L13</f>
        <v>602.6</v>
      </c>
      <c r="C22" s="10">
        <f t="shared" si="0"/>
        <v>4.7158244204251784E-4</v>
      </c>
      <c r="D22" s="10">
        <f t="shared" si="1"/>
        <v>0.47158244204251781</v>
      </c>
      <c r="E22" s="10">
        <f t="shared" si="2"/>
        <v>284.17557957482126</v>
      </c>
      <c r="F22" s="10">
        <f t="shared" si="3"/>
        <v>18.172303649088178</v>
      </c>
      <c r="G22" s="10">
        <f t="shared" si="4"/>
        <v>-202.33359635202413</v>
      </c>
      <c r="H22" s="204">
        <f t="shared" si="9"/>
        <v>1.8172303649088177</v>
      </c>
      <c r="I22" s="204"/>
      <c r="J22" s="204">
        <f t="shared" si="10"/>
        <v>1.8036603134568394</v>
      </c>
      <c r="K22" s="204"/>
      <c r="L22" s="39">
        <f t="shared" si="5"/>
        <v>-107.63100520319584</v>
      </c>
      <c r="M22" s="6">
        <f t="shared" si="6"/>
        <v>7.6310052031958415</v>
      </c>
      <c r="N22" s="39">
        <f t="shared" si="7"/>
        <v>-126.87420513814422</v>
      </c>
      <c r="O22" s="42">
        <f t="shared" si="8"/>
        <v>26.87420513814422</v>
      </c>
    </row>
    <row r="23" spans="1:16" x14ac:dyDescent="0.25">
      <c r="A23" s="2">
        <v>-90</v>
      </c>
      <c r="B23" s="14">
        <f>'RTD Resistance @ Temperature'!L14</f>
        <v>643</v>
      </c>
      <c r="C23" s="10">
        <f t="shared" si="0"/>
        <v>4.6979235178051299E-4</v>
      </c>
      <c r="D23" s="10">
        <f t="shared" si="1"/>
        <v>0.46979235178051298</v>
      </c>
      <c r="E23" s="10">
        <f t="shared" si="2"/>
        <v>302.07648219486987</v>
      </c>
      <c r="F23" s="10">
        <f t="shared" si="3"/>
        <v>17.900902620048612</v>
      </c>
      <c r="G23" s="10">
        <f t="shared" si="4"/>
        <v>-184.43269373197552</v>
      </c>
      <c r="H23" s="204">
        <f t="shared" si="9"/>
        <v>1.7900902620048611</v>
      </c>
      <c r="I23" s="204"/>
      <c r="J23" s="204">
        <f t="shared" si="10"/>
        <v>1.7811305061559266</v>
      </c>
      <c r="K23" s="204"/>
      <c r="L23" s="39">
        <f t="shared" si="5"/>
        <v>-96.322127132043533</v>
      </c>
      <c r="M23" s="6">
        <f t="shared" si="6"/>
        <v>7.0245857022705929</v>
      </c>
      <c r="N23" s="39">
        <f t="shared" si="7"/>
        <v>-113.5434282530554</v>
      </c>
      <c r="O23" s="42">
        <f t="shared" si="8"/>
        <v>26.159364725617106</v>
      </c>
    </row>
    <row r="24" spans="1:16" x14ac:dyDescent="0.25">
      <c r="A24" s="2">
        <v>-80</v>
      </c>
      <c r="B24" s="14">
        <f>'RTD Resistance @ Temperature'!L15</f>
        <v>683.3</v>
      </c>
      <c r="C24" s="10">
        <f t="shared" si="0"/>
        <v>4.6802018103020605E-4</v>
      </c>
      <c r="D24" s="10">
        <f t="shared" si="1"/>
        <v>0.46802018103020604</v>
      </c>
      <c r="E24" s="10">
        <f t="shared" si="2"/>
        <v>319.79818969793979</v>
      </c>
      <c r="F24" s="10">
        <f t="shared" si="3"/>
        <v>17.721707503069922</v>
      </c>
      <c r="G24" s="10">
        <f t="shared" si="4"/>
        <v>-166.7109862289056</v>
      </c>
      <c r="H24" s="204">
        <f t="shared" si="9"/>
        <v>1.7721707503069921</v>
      </c>
      <c r="I24" s="204"/>
      <c r="J24" s="204">
        <f t="shared" si="10"/>
        <v>1.7589886437931965</v>
      </c>
      <c r="K24" s="204"/>
      <c r="L24" s="39">
        <f t="shared" si="5"/>
        <v>-85.1264554042735</v>
      </c>
      <c r="M24" s="6">
        <f t="shared" si="6"/>
        <v>6.408069255341875</v>
      </c>
      <c r="N24" s="39">
        <f t="shared" si="7"/>
        <v>-100.34609771835702</v>
      </c>
      <c r="O24" s="42">
        <f t="shared" si="8"/>
        <v>25.432622147946272</v>
      </c>
    </row>
    <row r="25" spans="1:16" x14ac:dyDescent="0.25">
      <c r="A25" s="2">
        <v>-70</v>
      </c>
      <c r="B25" s="14">
        <f>'RTD Resistance @ Temperature'!L16</f>
        <v>723.3</v>
      </c>
      <c r="C25" s="10">
        <f t="shared" si="0"/>
        <v>4.6627437449292666E-4</v>
      </c>
      <c r="D25" s="10">
        <f t="shared" si="1"/>
        <v>0.46627437449292664</v>
      </c>
      <c r="E25" s="10">
        <f t="shared" si="2"/>
        <v>337.2562550707338</v>
      </c>
      <c r="F25" s="10">
        <f t="shared" si="3"/>
        <v>17.45806537279401</v>
      </c>
      <c r="G25" s="10">
        <f t="shared" si="4"/>
        <v>-149.25292085611159</v>
      </c>
      <c r="H25" s="204">
        <f t="shared" si="9"/>
        <v>1.7458065372794009</v>
      </c>
      <c r="I25" s="204"/>
      <c r="J25" s="204">
        <f t="shared" si="10"/>
        <v>1.7393185399652737</v>
      </c>
      <c r="K25" s="204"/>
      <c r="L25" s="39">
        <f t="shared" si="5"/>
        <v>-74.097339339588856</v>
      </c>
      <c r="M25" s="6">
        <f t="shared" si="6"/>
        <v>5.8533419136983662</v>
      </c>
      <c r="N25" s="39">
        <f t="shared" si="7"/>
        <v>-87.345101105518054</v>
      </c>
      <c r="O25" s="42">
        <f t="shared" si="8"/>
        <v>24.778715865025791</v>
      </c>
    </row>
    <row r="26" spans="1:16" x14ac:dyDescent="0.25">
      <c r="A26" s="2">
        <v>-60</v>
      </c>
      <c r="B26" s="14">
        <f>'RTD Resistance @ Temperature'!L17</f>
        <v>763.3</v>
      </c>
      <c r="C26" s="10">
        <f t="shared" si="0"/>
        <v>4.6454154395027551E-4</v>
      </c>
      <c r="D26" s="10">
        <f t="shared" si="1"/>
        <v>0.46454154395027553</v>
      </c>
      <c r="E26" s="10">
        <f t="shared" si="2"/>
        <v>354.58456049724526</v>
      </c>
      <c r="F26" s="10">
        <f t="shared" si="3"/>
        <v>17.328305426511463</v>
      </c>
      <c r="G26" s="10">
        <f t="shared" si="4"/>
        <v>-131.92461542960012</v>
      </c>
      <c r="H26" s="204">
        <f t="shared" si="9"/>
        <v>1.7328305426511463</v>
      </c>
      <c r="I26" s="204"/>
      <c r="J26" s="204">
        <f t="shared" si="10"/>
        <v>1.7221304572083738</v>
      </c>
      <c r="K26" s="204"/>
      <c r="L26" s="39">
        <f t="shared" si="5"/>
        <v>-63.150198996585708</v>
      </c>
      <c r="M26" s="6">
        <f t="shared" si="6"/>
        <v>5.2503316609761796</v>
      </c>
      <c r="N26" s="39">
        <f t="shared" si="7"/>
        <v>-74.440736541309789</v>
      </c>
      <c r="O26" s="42">
        <f t="shared" si="8"/>
        <v>24.067894235516317</v>
      </c>
    </row>
    <row r="27" spans="1:16" x14ac:dyDescent="0.25">
      <c r="A27" s="2">
        <v>-50</v>
      </c>
      <c r="B27" s="14">
        <f>'RTD Resistance @ Temperature'!L18</f>
        <v>803.1</v>
      </c>
      <c r="C27" s="10">
        <f t="shared" si="0"/>
        <v>4.6283011357850984E-4</v>
      </c>
      <c r="D27" s="10">
        <f t="shared" si="1"/>
        <v>0.46283011357850984</v>
      </c>
      <c r="E27" s="10">
        <f t="shared" si="2"/>
        <v>371.69886421490128</v>
      </c>
      <c r="F27" s="10">
        <f t="shared" si="3"/>
        <v>17.114303717656014</v>
      </c>
      <c r="G27" s="10">
        <f t="shared" si="4"/>
        <v>-114.81031171194411</v>
      </c>
      <c r="H27" s="204">
        <f t="shared" si="9"/>
        <v>1.7114303717656014</v>
      </c>
      <c r="I27" s="204"/>
      <c r="J27" s="204">
        <f t="shared" si="10"/>
        <v>1.700895468363592</v>
      </c>
      <c r="K27" s="204"/>
      <c r="L27" s="39">
        <f t="shared" si="5"/>
        <v>-52.338254028018817</v>
      </c>
      <c r="M27" s="6">
        <f t="shared" si="6"/>
        <v>4.6765080560376333</v>
      </c>
      <c r="N27" s="39">
        <f t="shared" si="7"/>
        <v>-61.69573874727682</v>
      </c>
      <c r="O27" s="42">
        <f t="shared" si="8"/>
        <v>23.391477494553641</v>
      </c>
    </row>
    <row r="28" spans="1:16" x14ac:dyDescent="0.25">
      <c r="A28" s="2">
        <v>-40</v>
      </c>
      <c r="B28" s="14">
        <f>'RTD Resistance @ Temperature'!L19</f>
        <v>842.69999999999993</v>
      </c>
      <c r="C28" s="10">
        <f t="shared" si="0"/>
        <v>4.6113975301354828E-4</v>
      </c>
      <c r="D28" s="10">
        <f t="shared" si="1"/>
        <v>0.46113975301354826</v>
      </c>
      <c r="E28" s="10">
        <f t="shared" si="2"/>
        <v>388.6024698645171</v>
      </c>
      <c r="F28" s="10">
        <f t="shared" si="3"/>
        <v>16.903605649615827</v>
      </c>
      <c r="G28" s="10">
        <f t="shared" si="4"/>
        <v>-97.906706062328283</v>
      </c>
      <c r="H28" s="204">
        <f t="shared" si="9"/>
        <v>1.6903605649615827</v>
      </c>
      <c r="I28" s="204"/>
      <c r="J28" s="204">
        <f t="shared" si="10"/>
        <v>1.6820983801097271</v>
      </c>
      <c r="K28" s="204"/>
      <c r="L28" s="39">
        <f t="shared" si="5"/>
        <v>-41.659417361969879</v>
      </c>
      <c r="M28" s="6">
        <f t="shared" si="6"/>
        <v>4.1485434049246983</v>
      </c>
      <c r="N28" s="39">
        <f t="shared" si="7"/>
        <v>-49.107647506772459</v>
      </c>
      <c r="O28" s="42">
        <f t="shared" si="8"/>
        <v>22.769118766931147</v>
      </c>
    </row>
    <row r="29" spans="1:16" x14ac:dyDescent="0.25">
      <c r="A29" s="2">
        <v>-30</v>
      </c>
      <c r="B29" s="14">
        <f>'RTD Resistance @ Temperature'!L20</f>
        <v>882.2</v>
      </c>
      <c r="C29" s="10">
        <f t="shared" si="0"/>
        <v>4.5946591681829039E-4</v>
      </c>
      <c r="D29" s="10">
        <f t="shared" si="1"/>
        <v>0.45946591681829041</v>
      </c>
      <c r="E29" s="10">
        <f t="shared" si="2"/>
        <v>405.34083181709582</v>
      </c>
      <c r="F29" s="10">
        <f t="shared" si="3"/>
        <v>16.738361952578714</v>
      </c>
      <c r="G29" s="10">
        <f t="shared" si="4"/>
        <v>-81.168344109749569</v>
      </c>
      <c r="H29" s="204">
        <f t="shared" si="9"/>
        <v>1.6738361952578713</v>
      </c>
      <c r="I29" s="204"/>
      <c r="J29" s="204">
        <f t="shared" si="10"/>
        <v>1.6656866444829035</v>
      </c>
      <c r="K29" s="204"/>
      <c r="L29" s="39">
        <f t="shared" si="5"/>
        <v>-31.084973243128378</v>
      </c>
      <c r="M29" s="6">
        <f t="shared" si="6"/>
        <v>3.6165774770945922</v>
      </c>
      <c r="N29" s="39">
        <f t="shared" si="7"/>
        <v>-36.642613013943034</v>
      </c>
      <c r="O29" s="42">
        <f t="shared" si="8"/>
        <v>22.142043379810115</v>
      </c>
    </row>
    <row r="30" spans="1:16" x14ac:dyDescent="0.25">
      <c r="A30" s="2">
        <v>-20</v>
      </c>
      <c r="B30" s="14">
        <f>'RTD Resistance @ Temperature'!L21</f>
        <v>921.59999999999991</v>
      </c>
      <c r="C30" s="10">
        <f t="shared" si="0"/>
        <v>4.5780837972458248E-4</v>
      </c>
      <c r="D30" s="10">
        <f t="shared" si="1"/>
        <v>0.45780837972458249</v>
      </c>
      <c r="E30" s="10">
        <f t="shared" si="2"/>
        <v>421.91620275417517</v>
      </c>
      <c r="F30" s="10">
        <f t="shared" si="3"/>
        <v>16.575370937079356</v>
      </c>
      <c r="G30" s="10">
        <f t="shared" si="4"/>
        <v>-64.592973172670213</v>
      </c>
      <c r="H30" s="204">
        <f t="shared" si="9"/>
        <v>1.6575370937079357</v>
      </c>
      <c r="I30" s="204"/>
      <c r="J30" s="204">
        <f t="shared" si="10"/>
        <v>1.6494981093523109</v>
      </c>
      <c r="K30" s="204"/>
      <c r="L30" s="39">
        <f t="shared" si="5"/>
        <v>-20.613498542092163</v>
      </c>
      <c r="M30" s="6">
        <f t="shared" si="6"/>
        <v>3.0674927104608152</v>
      </c>
      <c r="N30" s="39">
        <f t="shared" si="7"/>
        <v>-24.29895770003068</v>
      </c>
      <c r="O30" s="42">
        <f t="shared" si="8"/>
        <v>21.494788500153401</v>
      </c>
    </row>
    <row r="31" spans="1:16" x14ac:dyDescent="0.25">
      <c r="A31" s="2">
        <v>-10</v>
      </c>
      <c r="B31" s="14">
        <f>'RTD Resistance @ Temperature'!L22</f>
        <v>960.90000000000009</v>
      </c>
      <c r="C31" s="10">
        <f t="shared" si="0"/>
        <v>4.561669205995858E-4</v>
      </c>
      <c r="D31" s="10">
        <f t="shared" si="1"/>
        <v>0.4561669205995858</v>
      </c>
      <c r="E31" s="10">
        <f t="shared" si="2"/>
        <v>438.33079400414204</v>
      </c>
      <c r="F31" s="10">
        <f t="shared" si="3"/>
        <v>16.414591249966861</v>
      </c>
      <c r="G31" s="10">
        <f t="shared" si="4"/>
        <v>-48.178381922703352</v>
      </c>
      <c r="H31" s="204">
        <f t="shared" si="9"/>
        <v>1.6414591249966861</v>
      </c>
      <c r="I31" s="204"/>
      <c r="J31" s="204">
        <f t="shared" si="10"/>
        <v>1.6314625895639665</v>
      </c>
      <c r="K31" s="204"/>
      <c r="L31" s="39">
        <f t="shared" si="5"/>
        <v>-10.243596254272521</v>
      </c>
      <c r="M31" s="6">
        <f t="shared" si="6"/>
        <v>2.4359625427252141</v>
      </c>
      <c r="N31" s="39">
        <f t="shared" si="7"/>
        <v>-12.075034791910573</v>
      </c>
      <c r="O31" s="42">
        <f t="shared" si="8"/>
        <v>20.750347919105732</v>
      </c>
    </row>
    <row r="32" spans="1:16" ht="16.5" x14ac:dyDescent="0.3">
      <c r="A32" s="12">
        <v>0</v>
      </c>
      <c r="B32" s="51">
        <f>'RTD Resistance @ Temperature'!L23</f>
        <v>1000</v>
      </c>
      <c r="C32" s="52">
        <f t="shared" si="0"/>
        <v>4.5454545454545455E-4</v>
      </c>
      <c r="D32" s="52">
        <f t="shared" si="1"/>
        <v>0.45454545454545453</v>
      </c>
      <c r="E32" s="52">
        <f t="shared" si="2"/>
        <v>454.5454545454545</v>
      </c>
      <c r="F32" s="52">
        <f t="shared" si="3"/>
        <v>16.214660541312469</v>
      </c>
      <c r="G32" s="52">
        <f t="shared" si="4"/>
        <v>-31.963721381390883</v>
      </c>
      <c r="H32" s="210">
        <f t="shared" si="9"/>
        <v>1.6214660541312469</v>
      </c>
      <c r="I32" s="210"/>
      <c r="J32" s="210">
        <f>(E33-E31)/(A33-A31)</f>
        <v>1.6136713696361795</v>
      </c>
      <c r="K32" s="210"/>
      <c r="L32" s="53">
        <f t="shared" si="5"/>
        <v>0</v>
      </c>
      <c r="M32" s="54">
        <v>0</v>
      </c>
      <c r="N32" s="53">
        <f t="shared" si="7"/>
        <v>0</v>
      </c>
      <c r="O32" s="55">
        <v>0</v>
      </c>
      <c r="P32" s="13" t="s">
        <v>67</v>
      </c>
    </row>
    <row r="33" spans="1:16" x14ac:dyDescent="0.25">
      <c r="A33" s="12">
        <v>10</v>
      </c>
      <c r="B33" s="14">
        <f>'RTD Resistance @ Temperature'!L24</f>
        <v>1039</v>
      </c>
      <c r="C33" s="10">
        <f t="shared" si="0"/>
        <v>4.5293957786031344E-4</v>
      </c>
      <c r="D33" s="10">
        <f t="shared" si="1"/>
        <v>0.45293957786031341</v>
      </c>
      <c r="E33" s="10">
        <f t="shared" si="2"/>
        <v>470.60422139686563</v>
      </c>
      <c r="F33" s="10">
        <f t="shared" si="3"/>
        <v>16.058766851411121</v>
      </c>
      <c r="G33" s="10">
        <f t="shared" si="4"/>
        <v>-15.904954529979761</v>
      </c>
      <c r="H33" s="204">
        <f t="shared" si="9"/>
        <v>1.6058766851411121</v>
      </c>
      <c r="I33" s="204"/>
      <c r="J33" s="204">
        <f t="shared" si="10"/>
        <v>1.5981860690695442</v>
      </c>
      <c r="K33" s="204"/>
      <c r="L33" s="39">
        <f t="shared" si="5"/>
        <v>10.145110565110576</v>
      </c>
      <c r="M33" s="6">
        <f t="shared" si="6"/>
        <v>1.4511056511057596</v>
      </c>
      <c r="N33" s="39">
        <f t="shared" si="7"/>
        <v>11.958940981336989</v>
      </c>
      <c r="O33" s="42">
        <f t="shared" si="8"/>
        <v>19.589409813369887</v>
      </c>
    </row>
    <row r="34" spans="1:16" x14ac:dyDescent="0.25">
      <c r="A34" s="12">
        <v>20</v>
      </c>
      <c r="B34" s="46">
        <f>'RTD Resistance @ Temperature'!L25</f>
        <v>1077.9000000000001</v>
      </c>
      <c r="C34" s="47">
        <f>$D$4 / ($D$5 + $D$6 + B34)</f>
        <v>4.5134908240731549E-4</v>
      </c>
      <c r="D34" s="47">
        <f t="shared" si="1"/>
        <v>0.45134908240731547</v>
      </c>
      <c r="E34" s="47">
        <f t="shared" si="2"/>
        <v>486.50917592684539</v>
      </c>
      <c r="F34" s="47">
        <f>E34-E33</f>
        <v>15.904954529979761</v>
      </c>
      <c r="G34" s="47">
        <f t="shared" si="4"/>
        <v>0</v>
      </c>
      <c r="H34" s="211">
        <f t="shared" si="9"/>
        <v>1.5904954529979762</v>
      </c>
      <c r="I34" s="211"/>
      <c r="J34" s="211">
        <f t="shared" si="10"/>
        <v>1.5829070317516141</v>
      </c>
      <c r="K34" s="211"/>
      <c r="L34" s="48">
        <f t="shared" si="5"/>
        <v>20.193050343595008</v>
      </c>
      <c r="M34" s="49">
        <f t="shared" si="6"/>
        <v>0.96525171797503984</v>
      </c>
      <c r="N34" s="48">
        <f t="shared" si="7"/>
        <v>23.803338144258777</v>
      </c>
      <c r="O34" s="50">
        <f t="shared" si="8"/>
        <v>19.016690721293887</v>
      </c>
      <c r="P34" s="1" t="s">
        <v>66</v>
      </c>
    </row>
    <row r="35" spans="1:16" x14ac:dyDescent="0.25">
      <c r="A35" s="12">
        <v>30</v>
      </c>
      <c r="B35" s="14">
        <f>'RTD Resistance @ Temperature'!L26</f>
        <v>1116.7</v>
      </c>
      <c r="C35" s="10">
        <f t="shared" si="0"/>
        <v>4.4977376379681019E-4</v>
      </c>
      <c r="D35" s="10">
        <f t="shared" si="1"/>
        <v>0.44977376379681017</v>
      </c>
      <c r="E35" s="10">
        <f t="shared" si="2"/>
        <v>502.26236203189791</v>
      </c>
      <c r="F35" s="10">
        <f t="shared" si="3"/>
        <v>15.753186105052521</v>
      </c>
      <c r="G35" s="10">
        <f t="shared" si="4"/>
        <v>15.753186105052521</v>
      </c>
      <c r="H35" s="204">
        <f t="shared" si="9"/>
        <v>1.5753186105052521</v>
      </c>
      <c r="I35" s="204"/>
      <c r="J35" s="204">
        <f t="shared" si="10"/>
        <v>1.5678305523139897</v>
      </c>
      <c r="K35" s="204"/>
      <c r="L35" s="39">
        <f t="shared" si="5"/>
        <v>30.145110565110578</v>
      </c>
      <c r="M35" s="6">
        <f t="shared" si="6"/>
        <v>0.48370188370192579</v>
      </c>
      <c r="N35" s="39">
        <f t="shared" si="7"/>
        <v>35.534713575603718</v>
      </c>
      <c r="O35" s="42">
        <f t="shared" si="8"/>
        <v>18.449045252012393</v>
      </c>
    </row>
    <row r="36" spans="1:16" x14ac:dyDescent="0.25">
      <c r="A36" s="12">
        <v>40</v>
      </c>
      <c r="B36" s="14">
        <f>'RTD Resistance @ Temperature'!L27</f>
        <v>1155.4000000000001</v>
      </c>
      <c r="C36" s="10">
        <f t="shared" si="0"/>
        <v>4.4821342130268749E-4</v>
      </c>
      <c r="D36" s="10">
        <f t="shared" si="1"/>
        <v>0.44821342130268749</v>
      </c>
      <c r="E36" s="10">
        <f t="shared" si="2"/>
        <v>517.86578697312518</v>
      </c>
      <c r="F36" s="10">
        <f t="shared" si="3"/>
        <v>15.603424941227274</v>
      </c>
      <c r="G36" s="10">
        <f t="shared" si="4"/>
        <v>31.356611046279795</v>
      </c>
      <c r="H36" s="204">
        <f t="shared" si="9"/>
        <v>1.5603424941227275</v>
      </c>
      <c r="I36" s="204"/>
      <c r="J36" s="204">
        <f t="shared" si="10"/>
        <v>1.5529530079280647</v>
      </c>
      <c r="K36" s="204"/>
      <c r="L36" s="39">
        <f t="shared" si="5"/>
        <v>40.002559314934395</v>
      </c>
      <c r="M36" s="6">
        <f t="shared" si="6"/>
        <v>6.3982873359869066E-3</v>
      </c>
      <c r="N36" s="39">
        <f t="shared" si="7"/>
        <v>47.154562079877977</v>
      </c>
      <c r="O36" s="42">
        <f t="shared" si="8"/>
        <v>17.886405199694941</v>
      </c>
    </row>
    <row r="37" spans="1:16" x14ac:dyDescent="0.25">
      <c r="A37" s="12">
        <v>50</v>
      </c>
      <c r="B37" s="14">
        <f>'RTD Resistance @ Temperature'!L28</f>
        <v>1194</v>
      </c>
      <c r="C37" s="10">
        <f t="shared" si="0"/>
        <v>4.4666785778095411E-4</v>
      </c>
      <c r="D37" s="10">
        <f t="shared" si="1"/>
        <v>0.44666785778095408</v>
      </c>
      <c r="E37" s="10">
        <f t="shared" si="2"/>
        <v>533.3214221904592</v>
      </c>
      <c r="F37" s="10">
        <f t="shared" si="3"/>
        <v>15.45563521733402</v>
      </c>
      <c r="G37" s="10">
        <f t="shared" si="4"/>
        <v>46.812246263613815</v>
      </c>
      <c r="H37" s="204">
        <f t="shared" si="9"/>
        <v>1.5455635217334021</v>
      </c>
      <c r="I37" s="204"/>
      <c r="J37" s="204">
        <f t="shared" si="10"/>
        <v>1.5362893700503377</v>
      </c>
      <c r="K37" s="204"/>
      <c r="L37" s="39">
        <f t="shared" si="5"/>
        <v>49.766642048353745</v>
      </c>
      <c r="M37" s="6">
        <f t="shared" si="6"/>
        <v>-0.46671590329250989</v>
      </c>
      <c r="N37" s="39">
        <f t="shared" si="7"/>
        <v>58.664351785613029</v>
      </c>
      <c r="O37" s="42">
        <f t="shared" si="8"/>
        <v>17.328703571226058</v>
      </c>
    </row>
    <row r="38" spans="1:16" x14ac:dyDescent="0.25">
      <c r="A38" s="12">
        <v>60</v>
      </c>
      <c r="B38" s="14">
        <f>'RTD Resistance @ Temperature'!L29</f>
        <v>1232.3999999999999</v>
      </c>
      <c r="C38" s="10">
        <f t="shared" si="0"/>
        <v>4.4514084256258682E-4</v>
      </c>
      <c r="D38" s="10">
        <f t="shared" si="1"/>
        <v>0.44514084256258685</v>
      </c>
      <c r="E38" s="10">
        <f t="shared" si="2"/>
        <v>548.59157437413194</v>
      </c>
      <c r="F38" s="10">
        <f t="shared" si="3"/>
        <v>15.270152183672735</v>
      </c>
      <c r="G38" s="10">
        <f t="shared" si="4"/>
        <v>62.08239844728655</v>
      </c>
      <c r="H38" s="204">
        <f t="shared" si="9"/>
        <v>1.5270152183672736</v>
      </c>
      <c r="I38" s="204"/>
      <c r="J38" s="204">
        <f t="shared" si="10"/>
        <v>1.5218126254381787</v>
      </c>
      <c r="K38" s="204"/>
      <c r="L38" s="39">
        <f t="shared" si="5"/>
        <v>59.413546053053935</v>
      </c>
      <c r="M38" s="6">
        <f t="shared" si="6"/>
        <v>-0.97742324491010868</v>
      </c>
      <c r="N38" s="39">
        <f t="shared" si="7"/>
        <v>70.036012538289668</v>
      </c>
      <c r="O38" s="42">
        <f t="shared" si="8"/>
        <v>16.726687563816114</v>
      </c>
    </row>
    <row r="39" spans="1:16" x14ac:dyDescent="0.25">
      <c r="A39" s="12">
        <v>70</v>
      </c>
      <c r="B39" s="14">
        <f>'RTD Resistance @ Temperature'!L30</f>
        <v>1270.8</v>
      </c>
      <c r="C39" s="10">
        <f t="shared" si="0"/>
        <v>4.4362423253007776E-4</v>
      </c>
      <c r="D39" s="10">
        <f t="shared" si="1"/>
        <v>0.44362423253007777</v>
      </c>
      <c r="E39" s="10">
        <f t="shared" si="2"/>
        <v>563.75767469922278</v>
      </c>
      <c r="F39" s="10">
        <f t="shared" si="3"/>
        <v>15.166100325090838</v>
      </c>
      <c r="G39" s="10">
        <f t="shared" si="4"/>
        <v>77.248498772377388</v>
      </c>
      <c r="H39" s="204">
        <f t="shared" si="9"/>
        <v>1.5166100325090839</v>
      </c>
      <c r="I39" s="204"/>
      <c r="J39" s="204">
        <f t="shared" si="10"/>
        <v>1.5075510009856885</v>
      </c>
      <c r="K39" s="204"/>
      <c r="L39" s="39">
        <f t="shared" si="5"/>
        <v>68.994715395834817</v>
      </c>
      <c r="M39" s="6">
        <f t="shared" si="6"/>
        <v>-1.436120863093119</v>
      </c>
      <c r="N39" s="39">
        <f t="shared" si="7"/>
        <v>81.330186018917757</v>
      </c>
      <c r="O39" s="42">
        <f t="shared" si="8"/>
        <v>16.185980027025369</v>
      </c>
    </row>
    <row r="40" spans="1:16" x14ac:dyDescent="0.25">
      <c r="A40" s="12">
        <v>80</v>
      </c>
      <c r="B40" s="14">
        <f>'RTD Resistance @ Temperature'!L31</f>
        <v>1309</v>
      </c>
      <c r="C40" s="10">
        <f t="shared" si="0"/>
        <v>4.4212574056061546E-4</v>
      </c>
      <c r="D40" s="10">
        <f t="shared" si="1"/>
        <v>0.44212574056061549</v>
      </c>
      <c r="E40" s="10">
        <f t="shared" si="2"/>
        <v>578.74259439384571</v>
      </c>
      <c r="F40" s="10">
        <f t="shared" si="3"/>
        <v>14.984919694622931</v>
      </c>
      <c r="G40" s="10">
        <f t="shared" si="4"/>
        <v>92.23341846700032</v>
      </c>
      <c r="H40" s="204">
        <f t="shared" si="9"/>
        <v>1.4984919694622931</v>
      </c>
      <c r="I40" s="204"/>
      <c r="J40" s="204">
        <f t="shared" si="10"/>
        <v>1.4915057125629005</v>
      </c>
      <c r="K40" s="204"/>
      <c r="L40" s="39">
        <f t="shared" si="5"/>
        <v>78.461424048989826</v>
      </c>
      <c r="M40" s="6">
        <f t="shared" si="6"/>
        <v>-1.9232199387627169</v>
      </c>
      <c r="N40" s="39">
        <f t="shared" si="7"/>
        <v>92.489434540065758</v>
      </c>
      <c r="O40" s="42">
        <f t="shared" si="8"/>
        <v>15.611793175082198</v>
      </c>
    </row>
    <row r="41" spans="1:16" x14ac:dyDescent="0.25">
      <c r="A41" s="12">
        <v>90</v>
      </c>
      <c r="B41" s="14">
        <f>'RTD Resistance @ Temperature'!L32</f>
        <v>1347.1000000000001</v>
      </c>
      <c r="C41" s="10">
        <f t="shared" si="0"/>
        <v>4.4064122110495192E-4</v>
      </c>
      <c r="D41" s="10">
        <f t="shared" si="1"/>
        <v>0.44064122110495191</v>
      </c>
      <c r="E41" s="10">
        <f t="shared" si="2"/>
        <v>593.58778895048079</v>
      </c>
      <c r="F41" s="10">
        <f t="shared" si="3"/>
        <v>14.845194556635079</v>
      </c>
      <c r="G41" s="10">
        <f t="shared" si="4"/>
        <v>107.0786130236354</v>
      </c>
      <c r="H41" s="204">
        <f t="shared" si="9"/>
        <v>1.484519455663508</v>
      </c>
      <c r="I41" s="204"/>
      <c r="J41" s="204">
        <f t="shared" si="10"/>
        <v>1.4776228955680097</v>
      </c>
      <c r="K41" s="204"/>
      <c r="L41" s="39">
        <f t="shared" si="5"/>
        <v>87.839861480155747</v>
      </c>
      <c r="M41" s="6">
        <f t="shared" si="6"/>
        <v>-2.4001539109380587</v>
      </c>
      <c r="N41" s="39">
        <f t="shared" si="7"/>
        <v>103.54462994840209</v>
      </c>
      <c r="O41" s="42">
        <f t="shared" si="8"/>
        <v>15.049588831557879</v>
      </c>
    </row>
    <row r="42" spans="1:16" x14ac:dyDescent="0.25">
      <c r="A42" s="12">
        <v>100</v>
      </c>
      <c r="B42" s="14">
        <f>'RTD Resistance @ Temperature'!L33</f>
        <v>1385.1</v>
      </c>
      <c r="C42" s="10">
        <f t="shared" si="0"/>
        <v>4.3917049476947941E-4</v>
      </c>
      <c r="D42" s="10">
        <f t="shared" si="1"/>
        <v>0.43917049476947939</v>
      </c>
      <c r="E42" s="10">
        <f t="shared" si="2"/>
        <v>608.2950523052059</v>
      </c>
      <c r="F42" s="10">
        <f t="shared" si="3"/>
        <v>14.707263354725114</v>
      </c>
      <c r="G42" s="10">
        <f t="shared" si="4"/>
        <v>121.78587637836051</v>
      </c>
      <c r="H42" s="204">
        <f t="shared" si="9"/>
        <v>1.4707263354725115</v>
      </c>
      <c r="I42" s="204"/>
      <c r="J42" s="204">
        <f t="shared" si="10"/>
        <v>1.4620019679658924</v>
      </c>
      <c r="K42" s="204"/>
      <c r="L42" s="39">
        <f t="shared" si="5"/>
        <v>97.131161006730181</v>
      </c>
      <c r="M42" s="6">
        <f t="shared" si="6"/>
        <v>-2.8688389932698186</v>
      </c>
      <c r="N42" s="39">
        <f t="shared" si="7"/>
        <v>114.49710818558894</v>
      </c>
      <c r="O42" s="42">
        <f t="shared" si="8"/>
        <v>14.497108185588942</v>
      </c>
    </row>
    <row r="43" spans="1:16" x14ac:dyDescent="0.25">
      <c r="A43" s="12">
        <v>110</v>
      </c>
      <c r="B43" s="14">
        <f>'RTD Resistance @ Temperature'!L34</f>
        <v>1422.8999999999999</v>
      </c>
      <c r="C43" s="10">
        <f t="shared" si="0"/>
        <v>4.3771721716902014E-4</v>
      </c>
      <c r="D43" s="10">
        <f t="shared" si="1"/>
        <v>0.43771721716902012</v>
      </c>
      <c r="E43" s="10">
        <f t="shared" si="2"/>
        <v>622.82782830979863</v>
      </c>
      <c r="F43" s="10">
        <f t="shared" si="3"/>
        <v>14.532776004592733</v>
      </c>
      <c r="G43" s="10">
        <f t="shared" si="4"/>
        <v>136.31865238295325</v>
      </c>
      <c r="H43" s="204">
        <f t="shared" si="9"/>
        <v>1.4532776004592733</v>
      </c>
      <c r="I43" s="204"/>
      <c r="J43" s="204">
        <f t="shared" si="10"/>
        <v>1.4484843597935821</v>
      </c>
      <c r="K43" s="204"/>
      <c r="L43" s="39">
        <f t="shared" si="5"/>
        <v>106.31222831711483</v>
      </c>
      <c r="M43" s="6">
        <f t="shared" si="6"/>
        <v>-3.352519711713791</v>
      </c>
      <c r="N43" s="39">
        <f t="shared" si="7"/>
        <v>125.31964593970316</v>
      </c>
      <c r="O43" s="42">
        <f t="shared" si="8"/>
        <v>13.926950854275605</v>
      </c>
    </row>
    <row r="44" spans="1:16" x14ac:dyDescent="0.25">
      <c r="A44" s="12">
        <v>120</v>
      </c>
      <c r="B44" s="14">
        <f>'RTD Resistance @ Temperature'!L35</f>
        <v>1460.6999999999998</v>
      </c>
      <c r="C44" s="10">
        <f t="shared" si="0"/>
        <v>4.3627352604989222E-4</v>
      </c>
      <c r="D44" s="10">
        <f t="shared" si="1"/>
        <v>0.43627352604989222</v>
      </c>
      <c r="E44" s="10">
        <f t="shared" si="2"/>
        <v>637.26473950107754</v>
      </c>
      <c r="F44" s="10">
        <f t="shared" si="3"/>
        <v>14.436911191278909</v>
      </c>
      <c r="G44" s="10">
        <f t="shared" si="4"/>
        <v>150.75556357423216</v>
      </c>
      <c r="H44" s="204">
        <f t="shared" si="9"/>
        <v>1.4436911191278909</v>
      </c>
      <c r="I44" s="204"/>
      <c r="J44" s="204">
        <f t="shared" si="10"/>
        <v>1.435163379566734</v>
      </c>
      <c r="K44" s="204"/>
      <c r="L44" s="39">
        <f t="shared" si="5"/>
        <v>115.4327331235805</v>
      </c>
      <c r="M44" s="6">
        <f t="shared" si="6"/>
        <v>-3.8060557303495792</v>
      </c>
      <c r="N44" s="39">
        <f t="shared" si="7"/>
        <v>136.07079330281073</v>
      </c>
      <c r="O44" s="42">
        <f t="shared" si="8"/>
        <v>13.392327752342274</v>
      </c>
    </row>
    <row r="45" spans="1:16" x14ac:dyDescent="0.25">
      <c r="A45" s="12">
        <v>130</v>
      </c>
      <c r="B45" s="14">
        <f>'RTD Resistance @ Temperature'!L36</f>
        <v>1498.3000000000002</v>
      </c>
      <c r="C45" s="10">
        <f t="shared" si="0"/>
        <v>4.3484689040988668E-4</v>
      </c>
      <c r="D45" s="10">
        <f t="shared" si="1"/>
        <v>0.43484689040988667</v>
      </c>
      <c r="E45" s="10">
        <f t="shared" si="2"/>
        <v>651.53109590113331</v>
      </c>
      <c r="F45" s="10">
        <f t="shared" si="3"/>
        <v>14.26635640005577</v>
      </c>
      <c r="G45" s="10">
        <f t="shared" si="4"/>
        <v>165.02191997428793</v>
      </c>
      <c r="H45" s="204">
        <f t="shared" si="9"/>
        <v>1.4266356400055771</v>
      </c>
      <c r="I45" s="204"/>
      <c r="J45" s="204">
        <f t="shared" si="10"/>
        <v>1.420107049634487</v>
      </c>
      <c r="K45" s="204"/>
      <c r="L45" s="39">
        <f t="shared" si="5"/>
        <v>124.44549010417771</v>
      </c>
      <c r="M45" s="6">
        <f t="shared" si="6"/>
        <v>-4.2726999198633013</v>
      </c>
      <c r="N45" s="39">
        <f>($E45-$M$2)/$M$7</f>
        <v>146.69492875390824</v>
      </c>
      <c r="O45" s="42">
        <f t="shared" si="8"/>
        <v>12.842252887621724</v>
      </c>
    </row>
    <row r="46" spans="1:16" x14ac:dyDescent="0.25">
      <c r="A46" s="12">
        <v>140</v>
      </c>
      <c r="B46" s="14">
        <f>'RTD Resistance @ Temperature'!L37</f>
        <v>1535.8000000000002</v>
      </c>
      <c r="C46" s="10">
        <f t="shared" si="0"/>
        <v>4.3343331195062331E-4</v>
      </c>
      <c r="D46" s="10">
        <f t="shared" si="1"/>
        <v>0.43343331195062329</v>
      </c>
      <c r="E46" s="10">
        <f t="shared" si="2"/>
        <v>665.66688049376728</v>
      </c>
      <c r="F46" s="10">
        <f t="shared" si="3"/>
        <v>14.135784592633968</v>
      </c>
      <c r="G46" s="10">
        <f t="shared" si="4"/>
        <v>179.15770456692189</v>
      </c>
      <c r="H46" s="204">
        <f t="shared" si="9"/>
        <v>1.4135784592633969</v>
      </c>
      <c r="I46" s="204"/>
      <c r="J46" s="204">
        <f t="shared" si="10"/>
        <v>1.4089981587248872</v>
      </c>
      <c r="K46" s="204"/>
      <c r="L46" s="39">
        <f t="shared" si="5"/>
        <v>133.37575847059694</v>
      </c>
      <c r="M46" s="6">
        <f t="shared" si="6"/>
        <v>-4.7316010924307612</v>
      </c>
      <c r="N46" s="39">
        <f t="shared" si="7"/>
        <v>157.22182756453188</v>
      </c>
      <c r="O46" s="42">
        <f t="shared" si="8"/>
        <v>12.301305403237055</v>
      </c>
    </row>
    <row r="47" spans="1:16" x14ac:dyDescent="0.25">
      <c r="A47" s="12">
        <v>150</v>
      </c>
      <c r="B47" s="14">
        <f>'RTD Resistance @ Temperature'!L38</f>
        <v>1573.3000000000002</v>
      </c>
      <c r="C47" s="10">
        <f t="shared" si="0"/>
        <v>4.3202889409243691E-4</v>
      </c>
      <c r="D47" s="10">
        <f t="shared" si="1"/>
        <v>0.43202889409243689</v>
      </c>
      <c r="E47" s="10">
        <f t="shared" si="2"/>
        <v>679.71105907563106</v>
      </c>
      <c r="F47" s="10">
        <f t="shared" si="3"/>
        <v>14.044178581863775</v>
      </c>
      <c r="G47" s="10">
        <f t="shared" si="4"/>
        <v>193.20188314878567</v>
      </c>
      <c r="H47" s="204">
        <f t="shared" si="9"/>
        <v>1.4044178581863775</v>
      </c>
      <c r="I47" s="204"/>
      <c r="J47" s="204">
        <f t="shared" si="10"/>
        <v>1.3943184360153054</v>
      </c>
      <c r="K47" s="204"/>
      <c r="L47" s="39">
        <f t="shared" si="5"/>
        <v>142.2481548275218</v>
      </c>
      <c r="M47" s="6">
        <f t="shared" si="6"/>
        <v>-5.1678967816521322</v>
      </c>
      <c r="N47" s="39">
        <f t="shared" si="7"/>
        <v>167.68050750838495</v>
      </c>
      <c r="O47" s="42">
        <f t="shared" si="8"/>
        <v>11.787005005589966</v>
      </c>
    </row>
    <row r="48" spans="1:16" x14ac:dyDescent="0.25">
      <c r="A48" s="12">
        <v>160</v>
      </c>
      <c r="B48" s="14">
        <f>'RTD Resistance @ Temperature'!L39</f>
        <v>1610.5</v>
      </c>
      <c r="C48" s="10">
        <f t="shared" si="0"/>
        <v>4.3064467507859263E-4</v>
      </c>
      <c r="D48" s="10">
        <f t="shared" si="1"/>
        <v>0.43064467507859261</v>
      </c>
      <c r="E48" s="10">
        <f t="shared" si="2"/>
        <v>693.55324921407339</v>
      </c>
      <c r="F48" s="10">
        <f t="shared" si="3"/>
        <v>13.842190138442334</v>
      </c>
      <c r="G48" s="10">
        <f t="shared" si="4"/>
        <v>207.044073287228</v>
      </c>
      <c r="H48" s="204">
        <f t="shared" si="9"/>
        <v>1.3842190138442334</v>
      </c>
      <c r="I48" s="204"/>
      <c r="J48" s="204">
        <f t="shared" si="10"/>
        <v>1.3797981455771207</v>
      </c>
      <c r="K48" s="204"/>
      <c r="L48" s="39">
        <f t="shared" si="5"/>
        <v>150.99294517893293</v>
      </c>
      <c r="M48" s="6">
        <f t="shared" si="6"/>
        <v>-5.6294092631669201</v>
      </c>
      <c r="N48" s="39">
        <f t="shared" si="7"/>
        <v>177.98876694385527</v>
      </c>
      <c r="O48" s="42">
        <f t="shared" si="8"/>
        <v>11.242979339909542</v>
      </c>
    </row>
    <row r="49" spans="1:15" x14ac:dyDescent="0.25">
      <c r="A49" s="12">
        <v>170</v>
      </c>
      <c r="B49" s="14">
        <f>'RTD Resistance @ Temperature'!L40</f>
        <v>1647.7</v>
      </c>
      <c r="C49" s="10">
        <f t="shared" si="0"/>
        <v>4.2926929780128263E-4</v>
      </c>
      <c r="D49" s="10">
        <f t="shared" si="1"/>
        <v>0.42926929780128265</v>
      </c>
      <c r="E49" s="10">
        <f t="shared" si="2"/>
        <v>707.30702198717347</v>
      </c>
      <c r="F49" s="10">
        <f t="shared" si="3"/>
        <v>13.753772773100081</v>
      </c>
      <c r="G49" s="10">
        <f t="shared" si="4"/>
        <v>220.79784606032808</v>
      </c>
      <c r="H49" s="204">
        <f t="shared" si="9"/>
        <v>1.3753772773100081</v>
      </c>
      <c r="I49" s="204"/>
      <c r="J49" s="204">
        <f t="shared" si="10"/>
        <v>1.3691676091306477</v>
      </c>
      <c r="K49" s="204"/>
      <c r="L49" s="39">
        <f t="shared" si="5"/>
        <v>159.68187794454229</v>
      </c>
      <c r="M49" s="6">
        <f t="shared" si="6"/>
        <v>-6.0694835620339447</v>
      </c>
      <c r="N49" s="39">
        <f t="shared" si="7"/>
        <v>188.23118209229926</v>
      </c>
      <c r="O49" s="42">
        <f t="shared" si="8"/>
        <v>10.724224760176037</v>
      </c>
    </row>
    <row r="50" spans="1:15" x14ac:dyDescent="0.25">
      <c r="A50" s="12">
        <v>180</v>
      </c>
      <c r="B50" s="14">
        <f>'RTD Resistance @ Temperature'!L41</f>
        <v>1684.8</v>
      </c>
      <c r="C50" s="10">
        <f t="shared" si="0"/>
        <v>4.2790633986033137E-4</v>
      </c>
      <c r="D50" s="10">
        <f t="shared" si="1"/>
        <v>0.42790633986033139</v>
      </c>
      <c r="E50" s="10">
        <f t="shared" si="2"/>
        <v>720.93660139668634</v>
      </c>
      <c r="F50" s="10">
        <f t="shared" si="3"/>
        <v>13.629579409512871</v>
      </c>
      <c r="G50" s="10">
        <f t="shared" si="4"/>
        <v>234.42742546984095</v>
      </c>
      <c r="H50" s="204">
        <f t="shared" si="9"/>
        <v>1.3629579409512871</v>
      </c>
      <c r="I50" s="204"/>
      <c r="J50" s="204">
        <f t="shared" si="10"/>
        <v>1.3550051629582243</v>
      </c>
      <c r="K50" s="204"/>
      <c r="L50" s="39">
        <f t="shared" si="5"/>
        <v>168.29235167175207</v>
      </c>
      <c r="M50" s="6">
        <f t="shared" si="6"/>
        <v>-6.5042490712488483</v>
      </c>
      <c r="N50" s="39">
        <f t="shared" si="7"/>
        <v>198.38111061837955</v>
      </c>
      <c r="O50" s="42">
        <f t="shared" si="8"/>
        <v>10.211728121321974</v>
      </c>
    </row>
    <row r="51" spans="1:15" x14ac:dyDescent="0.25">
      <c r="A51" s="12">
        <v>190</v>
      </c>
      <c r="B51" s="14">
        <f>'RTD Resistance @ Temperature'!L42</f>
        <v>1721.6999999999998</v>
      </c>
      <c r="C51" s="10">
        <f t="shared" si="0"/>
        <v>4.2655928747536618E-4</v>
      </c>
      <c r="D51" s="10">
        <f t="shared" si="1"/>
        <v>0.4265592874753662</v>
      </c>
      <c r="E51" s="10">
        <f t="shared" si="2"/>
        <v>734.40712524633796</v>
      </c>
      <c r="F51" s="10">
        <f t="shared" si="3"/>
        <v>13.470523849651613</v>
      </c>
      <c r="G51" s="10">
        <f t="shared" si="4"/>
        <v>247.89794931949257</v>
      </c>
      <c r="H51" s="204">
        <f t="shared" si="9"/>
        <v>1.3470523849651612</v>
      </c>
      <c r="I51" s="204"/>
      <c r="J51" s="204">
        <f t="shared" si="10"/>
        <v>1.3428251612306041</v>
      </c>
      <c r="K51" s="204"/>
      <c r="L51" s="39">
        <f t="shared" si="5"/>
        <v>176.80234220148355</v>
      </c>
      <c r="M51" s="6">
        <f t="shared" si="6"/>
        <v>-6.9461356834297074</v>
      </c>
      <c r="N51" s="39">
        <f t="shared" si="7"/>
        <v>208.41259069379521</v>
      </c>
      <c r="O51" s="42">
        <f t="shared" si="8"/>
        <v>9.6908372072606372</v>
      </c>
    </row>
    <row r="52" spans="1:15" x14ac:dyDescent="0.25">
      <c r="A52" s="12">
        <v>200</v>
      </c>
      <c r="B52" s="14">
        <f>'RTD Resistance @ Temperature'!L43</f>
        <v>1758.6000000000001</v>
      </c>
      <c r="C52" s="10">
        <f t="shared" si="0"/>
        <v>4.2522068953787013E-4</v>
      </c>
      <c r="D52" s="10">
        <f t="shared" si="1"/>
        <v>0.42522068953787012</v>
      </c>
      <c r="E52" s="10">
        <f t="shared" si="2"/>
        <v>747.79310462129843</v>
      </c>
      <c r="F52" s="10">
        <f t="shared" si="3"/>
        <v>13.385979374960471</v>
      </c>
      <c r="G52" s="10">
        <f t="shared" si="4"/>
        <v>261.28392869445304</v>
      </c>
      <c r="H52" s="204">
        <f t="shared" si="9"/>
        <v>1.3385979374960471</v>
      </c>
      <c r="I52" s="204"/>
      <c r="J52" s="204">
        <f t="shared" si="10"/>
        <v>1.330816662492134</v>
      </c>
      <c r="K52" s="204"/>
      <c r="L52" s="39">
        <f t="shared" si="5"/>
        <v>185.25892184036974</v>
      </c>
      <c r="M52" s="6">
        <f t="shared" si="6"/>
        <v>-7.3705390798151322</v>
      </c>
      <c r="N52" s="39">
        <f t="shared" si="7"/>
        <v>218.38111061837955</v>
      </c>
      <c r="O52" s="42">
        <f t="shared" si="8"/>
        <v>9.1905553091897758</v>
      </c>
    </row>
    <row r="53" spans="1:15" x14ac:dyDescent="0.25">
      <c r="A53" s="12">
        <v>210</v>
      </c>
      <c r="B53" s="14">
        <f>'RTD Resistance @ Temperature'!L44</f>
        <v>1795.3</v>
      </c>
      <c r="C53" s="10">
        <f t="shared" si="0"/>
        <v>4.2389765415038193E-4</v>
      </c>
      <c r="D53" s="10">
        <f t="shared" si="1"/>
        <v>0.42389765415038194</v>
      </c>
      <c r="E53" s="10">
        <f t="shared" si="2"/>
        <v>761.02345849618064</v>
      </c>
      <c r="F53" s="10">
        <f t="shared" si="3"/>
        <v>13.230353874882212</v>
      </c>
      <c r="G53" s="10">
        <f t="shared" si="4"/>
        <v>274.51428256933525</v>
      </c>
      <c r="H53" s="204">
        <f t="shared" si="9"/>
        <v>1.3230353874882212</v>
      </c>
      <c r="I53" s="204"/>
      <c r="J53" s="204">
        <f t="shared" si="10"/>
        <v>1.3171458744210951</v>
      </c>
      <c r="K53" s="204"/>
      <c r="L53" s="39">
        <f t="shared" si="5"/>
        <v>193.61718521875764</v>
      </c>
      <c r="M53" s="6">
        <f t="shared" si="6"/>
        <v>-7.8013403720201708</v>
      </c>
      <c r="N53" s="39">
        <f t="shared" si="7"/>
        <v>228.23373645297258</v>
      </c>
      <c r="O53" s="42">
        <f t="shared" si="8"/>
        <v>8.682731644272657</v>
      </c>
    </row>
    <row r="54" spans="1:15" x14ac:dyDescent="0.25">
      <c r="A54" s="12">
        <v>220</v>
      </c>
      <c r="B54" s="14">
        <f>'RTD Resistance @ Temperature'!L45</f>
        <v>1831.9</v>
      </c>
      <c r="C54" s="10">
        <f t="shared" si="0"/>
        <v>4.2258639778902798E-4</v>
      </c>
      <c r="D54" s="10">
        <f t="shared" si="1"/>
        <v>0.42258639778902796</v>
      </c>
      <c r="E54" s="10">
        <f t="shared" si="2"/>
        <v>774.13602210972033</v>
      </c>
      <c r="F54" s="10">
        <f t="shared" si="3"/>
        <v>13.112563613539692</v>
      </c>
      <c r="G54" s="10">
        <f t="shared" si="4"/>
        <v>287.62684618287494</v>
      </c>
      <c r="H54" s="204">
        <f t="shared" si="9"/>
        <v>1.3112563613539692</v>
      </c>
      <c r="I54" s="204"/>
      <c r="J54" s="204">
        <f t="shared" si="10"/>
        <v>1.305437907316616</v>
      </c>
      <c r="K54" s="204"/>
      <c r="L54" s="39">
        <f t="shared" si="5"/>
        <v>201.90103471245126</v>
      </c>
      <c r="M54" s="6">
        <f t="shared" si="6"/>
        <v>-8.2268024034312432</v>
      </c>
      <c r="N54" s="39">
        <f t="shared" si="7"/>
        <v>237.99864404639521</v>
      </c>
      <c r="O54" s="42">
        <f t="shared" si="8"/>
        <v>8.1812018392705514</v>
      </c>
    </row>
    <row r="55" spans="1:15" x14ac:dyDescent="0.25">
      <c r="A55" s="12">
        <v>230</v>
      </c>
      <c r="B55" s="14">
        <f>'RTD Resistance @ Temperature'!L46</f>
        <v>1868.4</v>
      </c>
      <c r="C55" s="10">
        <f t="shared" si="0"/>
        <v>4.2128677833574871E-4</v>
      </c>
      <c r="D55" s="10">
        <f t="shared" si="1"/>
        <v>0.42128677833574874</v>
      </c>
      <c r="E55" s="10">
        <f t="shared" si="2"/>
        <v>787.13221664251296</v>
      </c>
      <c r="F55" s="10">
        <f t="shared" si="3"/>
        <v>12.996194532792629</v>
      </c>
      <c r="G55" s="10">
        <f t="shared" si="4"/>
        <v>300.62304071566757</v>
      </c>
      <c r="H55" s="204">
        <f t="shared" si="9"/>
        <v>1.2996194532792629</v>
      </c>
      <c r="I55" s="204"/>
      <c r="J55" s="204">
        <f t="shared" si="10"/>
        <v>1.2921068888355478</v>
      </c>
      <c r="K55" s="204"/>
      <c r="L55" s="39">
        <f t="shared" si="5"/>
        <v>210.11136815092951</v>
      </c>
      <c r="M55" s="6">
        <f t="shared" si="6"/>
        <v>-8.6472312387263006</v>
      </c>
      <c r="N55" s="39">
        <f t="shared" si="7"/>
        <v>247.67689174982857</v>
      </c>
      <c r="O55" s="42">
        <f t="shared" si="8"/>
        <v>7.6856051086211172</v>
      </c>
    </row>
    <row r="56" spans="1:15" x14ac:dyDescent="0.25">
      <c r="A56" s="12">
        <v>240</v>
      </c>
      <c r="B56" s="14">
        <f>'RTD Resistance @ Temperature'!L47</f>
        <v>1904.7</v>
      </c>
      <c r="C56" s="10">
        <f t="shared" si="0"/>
        <v>4.2000218401135682E-4</v>
      </c>
      <c r="D56" s="10">
        <f t="shared" si="1"/>
        <v>0.42000218401135681</v>
      </c>
      <c r="E56" s="10">
        <f t="shared" si="2"/>
        <v>799.97815988643129</v>
      </c>
      <c r="F56" s="10">
        <f t="shared" si="3"/>
        <v>12.845943243918327</v>
      </c>
      <c r="G56" s="10">
        <f t="shared" si="4"/>
        <v>313.4689839595859</v>
      </c>
      <c r="H56" s="204">
        <f t="shared" si="9"/>
        <v>1.2845943243918327</v>
      </c>
      <c r="I56" s="204"/>
      <c r="J56" s="204">
        <f t="shared" si="10"/>
        <v>1.2806892264959118</v>
      </c>
      <c r="K56" s="204"/>
      <c r="L56" s="39">
        <f t="shared" si="5"/>
        <v>218.22678048168609</v>
      </c>
      <c r="M56" s="6">
        <f t="shared" si="6"/>
        <v>-9.0721747992974624</v>
      </c>
      <c r="N56" s="39">
        <f t="shared" si="7"/>
        <v>257.24324753075985</v>
      </c>
      <c r="O56" s="42">
        <f t="shared" si="8"/>
        <v>7.1846864711499352</v>
      </c>
    </row>
    <row r="57" spans="1:15" x14ac:dyDescent="0.25">
      <c r="A57" s="12">
        <v>250</v>
      </c>
      <c r="B57" s="14">
        <f>'RTD Resistance @ Temperature'!L48</f>
        <v>1941</v>
      </c>
      <c r="C57" s="10">
        <f t="shared" si="0"/>
        <v>4.187253998827569E-4</v>
      </c>
      <c r="D57" s="10">
        <f t="shared" si="1"/>
        <v>0.41872539988275692</v>
      </c>
      <c r="E57" s="10">
        <f t="shared" si="2"/>
        <v>812.74600117243119</v>
      </c>
      <c r="F57" s="10">
        <f t="shared" si="3"/>
        <v>12.767841285999907</v>
      </c>
      <c r="G57" s="10">
        <f t="shared" si="4"/>
        <v>326.23682524558581</v>
      </c>
      <c r="H57" s="204">
        <f t="shared" si="9"/>
        <v>1.2767841285999908</v>
      </c>
      <c r="I57" s="204"/>
      <c r="J57" s="204">
        <f t="shared" si="10"/>
        <v>1.2694290822662595</v>
      </c>
      <c r="K57" s="204"/>
      <c r="L57" s="39">
        <f t="shared" si="5"/>
        <v>226.29285197539298</v>
      </c>
      <c r="M57" s="6">
        <f t="shared" si="6"/>
        <v>-9.4828592098428093</v>
      </c>
      <c r="N57" s="39">
        <f t="shared" si="7"/>
        <v>266.7514408939964</v>
      </c>
      <c r="O57" s="42">
        <f t="shared" si="8"/>
        <v>6.7005763575985613</v>
      </c>
    </row>
    <row r="58" spans="1:15" x14ac:dyDescent="0.25">
      <c r="A58" s="12">
        <v>260</v>
      </c>
      <c r="B58" s="14">
        <f>'RTD Resistance @ Temperature'!L49</f>
        <v>1977.1000000000001</v>
      </c>
      <c r="C58" s="10">
        <f t="shared" si="0"/>
        <v>4.1746332584682432E-4</v>
      </c>
      <c r="D58" s="10">
        <f t="shared" si="1"/>
        <v>0.41746332584682433</v>
      </c>
      <c r="E58" s="10">
        <f t="shared" si="2"/>
        <v>825.36674153175647</v>
      </c>
      <c r="F58" s="10">
        <f t="shared" si="3"/>
        <v>12.620740359325282</v>
      </c>
      <c r="G58" s="10">
        <f t="shared" si="4"/>
        <v>338.85756560491109</v>
      </c>
      <c r="H58" s="204">
        <f t="shared" si="9"/>
        <v>1.2620740359325282</v>
      </c>
      <c r="I58" s="204"/>
      <c r="J58" s="204">
        <f t="shared" si="10"/>
        <v>1.2565491559858231</v>
      </c>
      <c r="K58" s="204"/>
      <c r="L58" s="39">
        <f t="shared" si="5"/>
        <v>234.26599259967804</v>
      </c>
      <c r="M58" s="6">
        <f t="shared" si="6"/>
        <v>-9.897695153969984</v>
      </c>
      <c r="N58" s="39">
        <f t="shared" si="7"/>
        <v>276.15008840500911</v>
      </c>
      <c r="O58" s="42">
        <f t="shared" si="8"/>
        <v>6.2115724634650444</v>
      </c>
    </row>
    <row r="59" spans="1:15" x14ac:dyDescent="0.25">
      <c r="A59" s="12">
        <v>270</v>
      </c>
      <c r="B59" s="14">
        <f>'RTD Resistance @ Temperature'!L50</f>
        <v>2013.1</v>
      </c>
      <c r="C59" s="10">
        <f t="shared" si="0"/>
        <v>4.1621230157078522E-4</v>
      </c>
      <c r="D59" s="10">
        <f t="shared" si="1"/>
        <v>0.4162123015707852</v>
      </c>
      <c r="E59" s="10">
        <f t="shared" si="2"/>
        <v>837.87698429214765</v>
      </c>
      <c r="F59" s="10">
        <f t="shared" si="3"/>
        <v>12.510242760391179</v>
      </c>
      <c r="G59" s="10">
        <f t="shared" si="4"/>
        <v>351.36780836530227</v>
      </c>
      <c r="H59" s="204">
        <f t="shared" si="9"/>
        <v>1.2510242760391179</v>
      </c>
      <c r="I59" s="204"/>
      <c r="J59" s="204">
        <f t="shared" si="10"/>
        <v>1.2455644920070768</v>
      </c>
      <c r="K59" s="204"/>
      <c r="L59" s="39">
        <f t="shared" si="5"/>
        <v>242.16932647175491</v>
      </c>
      <c r="M59" s="6">
        <f t="shared" si="6"/>
        <v>-10.307656862312994</v>
      </c>
      <c r="N59" s="39">
        <f t="shared" si="7"/>
        <v>285.46644851024161</v>
      </c>
      <c r="O59" s="42">
        <f t="shared" si="8"/>
        <v>5.7283142630524457</v>
      </c>
    </row>
    <row r="60" spans="1:15" x14ac:dyDescent="0.25">
      <c r="A60" s="12">
        <v>280</v>
      </c>
      <c r="B60" s="14">
        <f>'RTD Resistance @ Temperature'!L51</f>
        <v>2049</v>
      </c>
      <c r="C60" s="10">
        <f t="shared" si="0"/>
        <v>4.1497219686281018E-4</v>
      </c>
      <c r="D60" s="10">
        <f t="shared" si="1"/>
        <v>0.41497219686281017</v>
      </c>
      <c r="E60" s="10">
        <f t="shared" si="2"/>
        <v>850.27803137189801</v>
      </c>
      <c r="F60" s="10">
        <f t="shared" si="3"/>
        <v>12.401047079750356</v>
      </c>
      <c r="G60" s="10">
        <f t="shared" si="4"/>
        <v>363.76885544505262</v>
      </c>
      <c r="H60" s="204">
        <f t="shared" si="9"/>
        <v>1.2401047079750356</v>
      </c>
      <c r="I60" s="204"/>
      <c r="J60" s="204">
        <f t="shared" si="10"/>
        <v>1.2347089741917672</v>
      </c>
      <c r="K60" s="204"/>
      <c r="L60" s="39">
        <f t="shared" si="5"/>
        <v>250.00367607725738</v>
      </c>
      <c r="M60" s="6">
        <f t="shared" si="6"/>
        <v>-10.712972829550935</v>
      </c>
      <c r="N60" s="39">
        <f t="shared" si="7"/>
        <v>294.7014907464071</v>
      </c>
      <c r="O60" s="42">
        <f t="shared" si="8"/>
        <v>5.2505324094311074</v>
      </c>
    </row>
    <row r="61" spans="1:15" x14ac:dyDescent="0.25">
      <c r="A61" s="12">
        <v>290</v>
      </c>
      <c r="B61" s="14">
        <f>'RTD Resistance @ Temperature'!L52</f>
        <v>2084.7999999999997</v>
      </c>
      <c r="C61" s="10">
        <f t="shared" si="0"/>
        <v>4.1374288362240174E-4</v>
      </c>
      <c r="D61" s="10">
        <f t="shared" si="1"/>
        <v>0.41374288362240175</v>
      </c>
      <c r="E61" s="10">
        <f t="shared" si="2"/>
        <v>862.571163775983</v>
      </c>
      <c r="F61" s="10">
        <f t="shared" si="3"/>
        <v>12.293132404084986</v>
      </c>
      <c r="G61" s="10">
        <f t="shared" si="4"/>
        <v>376.06198784913761</v>
      </c>
      <c r="H61" s="204">
        <f t="shared" si="9"/>
        <v>1.2293132404084985</v>
      </c>
      <c r="I61" s="204"/>
      <c r="J61" s="204">
        <f t="shared" si="10"/>
        <v>1.2239805319785149</v>
      </c>
      <c r="K61" s="204"/>
      <c r="L61" s="39">
        <f t="shared" si="5"/>
        <v>257.76985068985078</v>
      </c>
      <c r="M61" s="6">
        <f t="shared" si="6"/>
        <v>-11.113844589706625</v>
      </c>
      <c r="N61" s="39">
        <f t="shared" si="7"/>
        <v>303.85616907610057</v>
      </c>
      <c r="O61" s="42">
        <f t="shared" si="8"/>
        <v>4.7779893365864039</v>
      </c>
    </row>
    <row r="62" spans="1:15" x14ac:dyDescent="0.25">
      <c r="A62" s="12">
        <v>300</v>
      </c>
      <c r="B62" s="14">
        <f>'RTD Resistance @ Temperature'!L53</f>
        <v>2120.5</v>
      </c>
      <c r="C62" s="10">
        <f t="shared" si="0"/>
        <v>4.125242357988532E-4</v>
      </c>
      <c r="D62" s="10">
        <f t="shared" si="1"/>
        <v>0.41252423579885322</v>
      </c>
      <c r="E62" s="10">
        <f t="shared" si="2"/>
        <v>874.75764201146831</v>
      </c>
      <c r="F62" s="10">
        <f t="shared" si="3"/>
        <v>12.186478235485311</v>
      </c>
      <c r="G62" s="10">
        <f t="shared" si="4"/>
        <v>388.24846608462292</v>
      </c>
      <c r="H62" s="204">
        <f t="shared" si="9"/>
        <v>1.218647823548531</v>
      </c>
      <c r="I62" s="204"/>
      <c r="J62" s="204">
        <f t="shared" si="10"/>
        <v>1.2133771358526757</v>
      </c>
      <c r="K62" s="204"/>
      <c r="L62" s="39">
        <f t="shared" si="5"/>
        <v>265.46864663366563</v>
      </c>
      <c r="M62" s="6">
        <f t="shared" si="6"/>
        <v>-11.510451122111458</v>
      </c>
      <c r="N62" s="39">
        <f t="shared" si="7"/>
        <v>312.9314221971527</v>
      </c>
      <c r="O62" s="42">
        <f t="shared" si="8"/>
        <v>4.3104740657175666</v>
      </c>
    </row>
    <row r="63" spans="1:15" x14ac:dyDescent="0.25">
      <c r="A63" s="12">
        <v>310</v>
      </c>
      <c r="B63" s="14">
        <f>'RTD Resistance @ Temperature'!L54</f>
        <v>2156.1000000000004</v>
      </c>
      <c r="C63" s="10">
        <f t="shared" si="0"/>
        <v>4.1131612935069634E-4</v>
      </c>
      <c r="D63" s="10">
        <f t="shared" si="1"/>
        <v>0.41131612935069634</v>
      </c>
      <c r="E63" s="10">
        <f t="shared" si="2"/>
        <v>886.83870649303651</v>
      </c>
      <c r="F63" s="10">
        <f t="shared" si="3"/>
        <v>12.081064481568205</v>
      </c>
      <c r="G63" s="10">
        <f t="shared" si="4"/>
        <v>400.32953056619112</v>
      </c>
      <c r="H63" s="204">
        <f t="shared" si="9"/>
        <v>1.2081064481568204</v>
      </c>
      <c r="I63" s="204"/>
      <c r="J63" s="204">
        <f t="shared" si="10"/>
        <v>1.2012148112093826</v>
      </c>
      <c r="K63" s="204"/>
      <c r="L63" s="39">
        <f t="shared" si="5"/>
        <v>273.1008475394886</v>
      </c>
      <c r="M63" s="6">
        <f t="shared" si="6"/>
        <v>-11.902952406616581</v>
      </c>
      <c r="N63" s="39">
        <f t="shared" si="7"/>
        <v>321.92817384462461</v>
      </c>
      <c r="O63" s="42">
        <f t="shared" si="8"/>
        <v>3.8477980143950354</v>
      </c>
    </row>
    <row r="64" spans="1:15" ht="15.75" thickBot="1" x14ac:dyDescent="0.3">
      <c r="A64" s="3">
        <v>320</v>
      </c>
      <c r="B64" s="15">
        <f>'RTD Resistance @ Temperature'!L55</f>
        <v>2191.5</v>
      </c>
      <c r="C64" s="11">
        <f t="shared" si="0"/>
        <v>4.1012180617643442E-4</v>
      </c>
      <c r="D64" s="11">
        <f t="shared" si="1"/>
        <v>0.4101218061764344</v>
      </c>
      <c r="E64" s="11">
        <f t="shared" si="2"/>
        <v>898.78193823565596</v>
      </c>
      <c r="F64" s="11">
        <f>E64-E63</f>
        <v>11.943231742619446</v>
      </c>
      <c r="G64" s="11">
        <f t="shared" si="4"/>
        <v>412.27276230881057</v>
      </c>
      <c r="H64" s="212">
        <f>F64/(A64-A63)</f>
        <v>1.1943231742619447</v>
      </c>
      <c r="I64" s="212"/>
      <c r="J64" s="212">
        <f>(E64-E63) / (A64-A63)</f>
        <v>1.1943231742619447</v>
      </c>
      <c r="K64" s="212"/>
      <c r="L64" s="43">
        <f t="shared" si="5"/>
        <v>280.64597274460147</v>
      </c>
      <c r="M64" s="7">
        <f t="shared" si="6"/>
        <v>-12.298133517312042</v>
      </c>
      <c r="N64" s="43">
        <f t="shared" si="7"/>
        <v>330.82228164617516</v>
      </c>
      <c r="O64" s="44">
        <f t="shared" si="8"/>
        <v>3.3819630144297363</v>
      </c>
    </row>
  </sheetData>
  <sheetProtection algorithmName="SHA-512" hashValue="JnWJ9pXSlZnJpMNr8acq0n4qVdXTuuXXLMG4r9uk3rTyrz/Xq4eAi4bibwseHpfT9HlI0DZgkaXQCWhVpgNNSQ==" saltValue="15XBgCuTILgo8KgjpbRviw==" spinCount="100000" sheet="1" objects="1" scenarios="1"/>
  <mergeCells count="124">
    <mergeCell ref="A1:K1"/>
    <mergeCell ref="L1:N1"/>
    <mergeCell ref="F2:F8"/>
    <mergeCell ref="H5:I5"/>
    <mergeCell ref="H6:I6"/>
    <mergeCell ref="H7:I7"/>
    <mergeCell ref="G10:G11"/>
    <mergeCell ref="H10:I11"/>
    <mergeCell ref="J10:K11"/>
    <mergeCell ref="L10:L11"/>
    <mergeCell ref="M10:M11"/>
    <mergeCell ref="O10:O11"/>
    <mergeCell ref="A10:A11"/>
    <mergeCell ref="B10:B11"/>
    <mergeCell ref="C10:C11"/>
    <mergeCell ref="D10:D11"/>
    <mergeCell ref="E10:E11"/>
    <mergeCell ref="F10:F11"/>
    <mergeCell ref="H15:I15"/>
    <mergeCell ref="J15:K15"/>
    <mergeCell ref="H16:I16"/>
    <mergeCell ref="J16:K16"/>
    <mergeCell ref="H17:I17"/>
    <mergeCell ref="J17:K17"/>
    <mergeCell ref="H12:I12"/>
    <mergeCell ref="J12:K12"/>
    <mergeCell ref="H13:I13"/>
    <mergeCell ref="J13:K13"/>
    <mergeCell ref="H14:I14"/>
    <mergeCell ref="J14:K14"/>
    <mergeCell ref="H21:I21"/>
    <mergeCell ref="J21:K21"/>
    <mergeCell ref="H22:I22"/>
    <mergeCell ref="J22:K22"/>
    <mergeCell ref="H23:I23"/>
    <mergeCell ref="J23:K23"/>
    <mergeCell ref="H18:I18"/>
    <mergeCell ref="J18:K18"/>
    <mergeCell ref="H19:I19"/>
    <mergeCell ref="J19:K19"/>
    <mergeCell ref="H20:I20"/>
    <mergeCell ref="J20:K20"/>
    <mergeCell ref="H27:I27"/>
    <mergeCell ref="J27:K27"/>
    <mergeCell ref="H28:I28"/>
    <mergeCell ref="J28:K28"/>
    <mergeCell ref="H29:I29"/>
    <mergeCell ref="J29:K29"/>
    <mergeCell ref="H24:I24"/>
    <mergeCell ref="J24:K24"/>
    <mergeCell ref="H25:I25"/>
    <mergeCell ref="J25:K25"/>
    <mergeCell ref="H26:I26"/>
    <mergeCell ref="J26:K26"/>
    <mergeCell ref="H33:I33"/>
    <mergeCell ref="J33:K33"/>
    <mergeCell ref="H34:I34"/>
    <mergeCell ref="J34:K34"/>
    <mergeCell ref="H35:I35"/>
    <mergeCell ref="J35:K35"/>
    <mergeCell ref="H30:I30"/>
    <mergeCell ref="J30:K30"/>
    <mergeCell ref="H31:I31"/>
    <mergeCell ref="J31:K31"/>
    <mergeCell ref="H32:I32"/>
    <mergeCell ref="J32:K32"/>
    <mergeCell ref="H39:I39"/>
    <mergeCell ref="J39:K39"/>
    <mergeCell ref="H40:I40"/>
    <mergeCell ref="J40:K40"/>
    <mergeCell ref="H41:I41"/>
    <mergeCell ref="J41:K41"/>
    <mergeCell ref="H36:I36"/>
    <mergeCell ref="J36:K36"/>
    <mergeCell ref="H37:I37"/>
    <mergeCell ref="J37:K37"/>
    <mergeCell ref="H38:I38"/>
    <mergeCell ref="J38:K38"/>
    <mergeCell ref="H45:I45"/>
    <mergeCell ref="J45:K45"/>
    <mergeCell ref="H46:I46"/>
    <mergeCell ref="J46:K46"/>
    <mergeCell ref="H47:I47"/>
    <mergeCell ref="J47:K47"/>
    <mergeCell ref="H42:I42"/>
    <mergeCell ref="J42:K42"/>
    <mergeCell ref="H43:I43"/>
    <mergeCell ref="J43:K43"/>
    <mergeCell ref="H44:I44"/>
    <mergeCell ref="J44:K44"/>
    <mergeCell ref="H51:I51"/>
    <mergeCell ref="J51:K51"/>
    <mergeCell ref="H52:I52"/>
    <mergeCell ref="J52:K52"/>
    <mergeCell ref="H53:I53"/>
    <mergeCell ref="J53:K53"/>
    <mergeCell ref="H48:I48"/>
    <mergeCell ref="J48:K48"/>
    <mergeCell ref="H49:I49"/>
    <mergeCell ref="J49:K49"/>
    <mergeCell ref="H50:I50"/>
    <mergeCell ref="J50:K50"/>
    <mergeCell ref="H57:I57"/>
    <mergeCell ref="J57:K57"/>
    <mergeCell ref="H58:I58"/>
    <mergeCell ref="J58:K58"/>
    <mergeCell ref="H59:I59"/>
    <mergeCell ref="J59:K59"/>
    <mergeCell ref="H54:I54"/>
    <mergeCell ref="J54:K54"/>
    <mergeCell ref="H55:I55"/>
    <mergeCell ref="J55:K55"/>
    <mergeCell ref="H56:I56"/>
    <mergeCell ref="J56:K56"/>
    <mergeCell ref="H63:I63"/>
    <mergeCell ref="J63:K63"/>
    <mergeCell ref="H64:I64"/>
    <mergeCell ref="J64:K64"/>
    <mergeCell ref="H60:I60"/>
    <mergeCell ref="J60:K60"/>
    <mergeCell ref="H61:I61"/>
    <mergeCell ref="J61:K61"/>
    <mergeCell ref="H62:I62"/>
    <mergeCell ref="J62:K6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E3FA9-C471-47A3-90C2-AB9964C62B39}">
  <dimension ref="A1:P64"/>
  <sheetViews>
    <sheetView workbookViewId="0">
      <selection activeCell="H14" sqref="H14:I14"/>
    </sheetView>
  </sheetViews>
  <sheetFormatPr defaultRowHeight="15" x14ac:dyDescent="0.25"/>
  <cols>
    <col min="3" max="3" width="10.5703125" customWidth="1"/>
    <col min="4" max="4" width="10.5703125" bestFit="1" customWidth="1"/>
    <col min="5" max="5" width="12.5703125" bestFit="1" customWidth="1"/>
    <col min="6" max="6" width="14.42578125" customWidth="1"/>
    <col min="7" max="7" width="13.7109375" customWidth="1"/>
    <col min="12" max="12" width="18.7109375" customWidth="1"/>
    <col min="13" max="13" width="18.140625" customWidth="1"/>
    <col min="14" max="14" width="18.42578125" customWidth="1"/>
    <col min="15" max="15" width="18.28515625" customWidth="1"/>
  </cols>
  <sheetData>
    <row r="1" spans="1:15" ht="15.75" thickBot="1" x14ac:dyDescent="0.3">
      <c r="A1" s="181" t="s">
        <v>6</v>
      </c>
      <c r="B1" s="182"/>
      <c r="C1" s="182"/>
      <c r="D1" s="182"/>
      <c r="E1" s="182"/>
      <c r="F1" s="182"/>
      <c r="G1" s="182"/>
      <c r="H1" s="182"/>
      <c r="I1" s="182"/>
      <c r="J1" s="182"/>
      <c r="K1" s="183"/>
      <c r="L1" s="181" t="s">
        <v>55</v>
      </c>
      <c r="M1" s="182"/>
      <c r="N1" s="183"/>
    </row>
    <row r="2" spans="1:15" ht="18" x14ac:dyDescent="0.35">
      <c r="A2" s="23" t="s">
        <v>31</v>
      </c>
      <c r="F2" s="198" t="s">
        <v>16</v>
      </c>
      <c r="G2" s="1" t="s">
        <v>9</v>
      </c>
      <c r="J2">
        <f>0.0005*1000</f>
        <v>0.5</v>
      </c>
      <c r="K2" s="24" t="s">
        <v>2</v>
      </c>
      <c r="L2" s="33" t="s">
        <v>56</v>
      </c>
      <c r="M2" s="34">
        <f>E32</f>
        <v>0</v>
      </c>
      <c r="N2" s="35" t="s">
        <v>20</v>
      </c>
    </row>
    <row r="3" spans="1:15" ht="18" x14ac:dyDescent="0.35">
      <c r="A3" s="25"/>
      <c r="B3" s="1" t="s">
        <v>32</v>
      </c>
      <c r="F3" s="199"/>
      <c r="G3" s="1" t="s">
        <v>10</v>
      </c>
      <c r="J3">
        <f>$D$4-$J$2</f>
        <v>4.5</v>
      </c>
      <c r="K3" s="24" t="s">
        <v>2</v>
      </c>
      <c r="L3" s="33" t="s">
        <v>27</v>
      </c>
      <c r="M3" s="34">
        <f>$E$34</f>
        <v>0</v>
      </c>
      <c r="N3" s="35" t="s">
        <v>20</v>
      </c>
    </row>
    <row r="4" spans="1:15" ht="18" x14ac:dyDescent="0.35">
      <c r="A4" s="25"/>
      <c r="B4" s="1"/>
      <c r="C4" s="1" t="s">
        <v>3</v>
      </c>
      <c r="D4">
        <f>'RTD Data'!$E$3</f>
        <v>5</v>
      </c>
      <c r="E4" s="20" t="s">
        <v>2</v>
      </c>
      <c r="F4" s="199"/>
      <c r="G4" s="21" t="s">
        <v>11</v>
      </c>
      <c r="K4" s="26"/>
      <c r="L4" s="33" t="s">
        <v>26</v>
      </c>
      <c r="M4" s="34">
        <f>$J$34</f>
        <v>0</v>
      </c>
      <c r="N4" s="35" t="s">
        <v>23</v>
      </c>
    </row>
    <row r="5" spans="1:15" ht="18" x14ac:dyDescent="0.35">
      <c r="A5" s="25"/>
      <c r="C5" t="s">
        <v>7</v>
      </c>
      <c r="D5" s="22">
        <f>'RTD Data'!$F$8</f>
        <v>5000</v>
      </c>
      <c r="E5" s="20" t="s">
        <v>0</v>
      </c>
      <c r="F5" s="199"/>
      <c r="G5" s="1"/>
      <c r="H5" s="201" t="s">
        <v>12</v>
      </c>
      <c r="I5" s="201"/>
      <c r="J5">
        <f>$J$3/2</f>
        <v>2.25</v>
      </c>
      <c r="K5" s="24" t="s">
        <v>2</v>
      </c>
      <c r="L5" s="33" t="s">
        <v>42</v>
      </c>
      <c r="M5" s="36">
        <f>'RTD Data'!S4</f>
        <v>200</v>
      </c>
      <c r="N5" s="37" t="s">
        <v>21</v>
      </c>
    </row>
    <row r="6" spans="1:15" ht="18" x14ac:dyDescent="0.35">
      <c r="A6" s="25"/>
      <c r="C6" t="s">
        <v>8</v>
      </c>
      <c r="D6" s="22">
        <f>'RTD Data'!$F$7</f>
        <v>5000</v>
      </c>
      <c r="E6" s="20" t="s">
        <v>0</v>
      </c>
      <c r="F6" s="199"/>
      <c r="H6" s="202" t="s">
        <v>13</v>
      </c>
      <c r="I6" s="202"/>
      <c r="J6" s="22">
        <f>J5/0.0005</f>
        <v>4500</v>
      </c>
      <c r="K6" s="24" t="s">
        <v>0</v>
      </c>
      <c r="L6" s="33" t="s">
        <v>46</v>
      </c>
      <c r="M6" s="34">
        <f>VLOOKUP(M5,'PT-CUSTOM Tables'!12:64,5)</f>
        <v>0</v>
      </c>
      <c r="N6" s="35" t="s">
        <v>20</v>
      </c>
    </row>
    <row r="7" spans="1:15" ht="18" x14ac:dyDescent="0.35">
      <c r="A7" s="23" t="s">
        <v>39</v>
      </c>
      <c r="D7" s="22"/>
      <c r="E7" s="20"/>
      <c r="F7" s="199"/>
      <c r="H7" s="202" t="s">
        <v>14</v>
      </c>
      <c r="I7" s="202"/>
      <c r="J7" s="22">
        <f>J6</f>
        <v>4500</v>
      </c>
      <c r="K7" s="24" t="s">
        <v>0</v>
      </c>
      <c r="L7" s="18" t="s">
        <v>43</v>
      </c>
      <c r="M7" s="34">
        <f>VLOOKUP(M5-10,12:64,10)</f>
        <v>0</v>
      </c>
      <c r="N7" s="35" t="s">
        <v>23</v>
      </c>
    </row>
    <row r="8" spans="1:15" ht="18.75" thickBot="1" x14ac:dyDescent="0.4">
      <c r="A8" s="27" t="s">
        <v>34</v>
      </c>
      <c r="B8" s="28"/>
      <c r="C8" s="29"/>
      <c r="D8" s="30"/>
      <c r="E8" s="31"/>
      <c r="F8" s="200"/>
      <c r="G8" s="29"/>
      <c r="H8" s="29"/>
      <c r="I8" s="29"/>
      <c r="J8" s="29"/>
      <c r="K8" s="32"/>
      <c r="L8" s="38"/>
      <c r="M8" s="29"/>
      <c r="N8" s="32"/>
    </row>
    <row r="9" spans="1:15" ht="15.75" thickBot="1" x14ac:dyDescent="0.3"/>
    <row r="10" spans="1:15" ht="15" customHeight="1" x14ac:dyDescent="0.25">
      <c r="A10" s="179" t="s">
        <v>1</v>
      </c>
      <c r="B10" s="179" t="s">
        <v>28</v>
      </c>
      <c r="C10" s="196" t="s">
        <v>29</v>
      </c>
      <c r="D10" s="196" t="s">
        <v>30</v>
      </c>
      <c r="E10" s="196" t="s">
        <v>24</v>
      </c>
      <c r="F10" s="196" t="s">
        <v>37</v>
      </c>
      <c r="G10" s="196" t="s">
        <v>38</v>
      </c>
      <c r="H10" s="205" t="s">
        <v>33</v>
      </c>
      <c r="I10" s="206"/>
      <c r="J10" s="205" t="s">
        <v>35</v>
      </c>
      <c r="K10" s="206"/>
      <c r="L10" s="205" t="s">
        <v>48</v>
      </c>
      <c r="M10" s="196" t="s">
        <v>40</v>
      </c>
      <c r="N10" s="19"/>
      <c r="O10" s="196" t="s">
        <v>49</v>
      </c>
    </row>
    <row r="11" spans="1:15" ht="18.75" thickBot="1" x14ac:dyDescent="0.4">
      <c r="A11" s="203"/>
      <c r="B11" s="180"/>
      <c r="C11" s="197"/>
      <c r="D11" s="197"/>
      <c r="E11" s="197"/>
      <c r="F11" s="197"/>
      <c r="G11" s="197"/>
      <c r="H11" s="207"/>
      <c r="I11" s="208"/>
      <c r="J11" s="207"/>
      <c r="K11" s="208"/>
      <c r="L11" s="207"/>
      <c r="M11" s="197"/>
      <c r="N11" s="16" t="s">
        <v>41</v>
      </c>
      <c r="O11" s="197"/>
    </row>
    <row r="12" spans="1:15" x14ac:dyDescent="0.25">
      <c r="A12" s="4">
        <v>-200</v>
      </c>
      <c r="B12" s="17">
        <f>'RTD Resistance @ Temperature'!Q3</f>
        <v>0</v>
      </c>
      <c r="C12" s="9">
        <f>$D$4 / ($D$5 + $D$6 + B12)</f>
        <v>5.0000000000000001E-4</v>
      </c>
      <c r="D12" s="9">
        <f>C12*1000</f>
        <v>0.5</v>
      </c>
      <c r="E12" s="9">
        <f>B12*D12</f>
        <v>0</v>
      </c>
      <c r="F12" s="9">
        <f>E13-E12</f>
        <v>0</v>
      </c>
      <c r="G12" s="9">
        <f>E12-$E$34</f>
        <v>0</v>
      </c>
      <c r="H12" s="209">
        <f>F12/(A13-A12)</f>
        <v>0</v>
      </c>
      <c r="I12" s="209"/>
      <c r="J12" s="209">
        <f>(E13-E12)/(A13-A12)</f>
        <v>0</v>
      </c>
      <c r="K12" s="209"/>
      <c r="L12" s="40" t="e">
        <f>($E12-$M$2)/$M$4</f>
        <v>#DIV/0!</v>
      </c>
      <c r="M12" s="8" t="e">
        <f>(L12-$A12)/$A12 * 100</f>
        <v>#DIV/0!</v>
      </c>
      <c r="N12" s="40" t="e">
        <f>($E12-$M$2)/$M$7</f>
        <v>#DIV/0!</v>
      </c>
      <c r="O12" s="41" t="e">
        <f>(N12-$A12)/$A12 * 100</f>
        <v>#DIV/0!</v>
      </c>
    </row>
    <row r="13" spans="1:15" x14ac:dyDescent="0.25">
      <c r="A13" s="2">
        <v>-190</v>
      </c>
      <c r="B13" s="14">
        <f>'RTD Resistance @ Temperature'!Q4</f>
        <v>0</v>
      </c>
      <c r="C13" s="10">
        <f t="shared" ref="C13:C64" si="0">$D$4 / ($D$5 + $D$6 + B13)</f>
        <v>5.0000000000000001E-4</v>
      </c>
      <c r="D13" s="10">
        <f t="shared" ref="D13:D64" si="1">C13*1000</f>
        <v>0.5</v>
      </c>
      <c r="E13" s="10">
        <f t="shared" ref="E13:E64" si="2">B13*D13</f>
        <v>0</v>
      </c>
      <c r="F13" s="10">
        <f t="shared" ref="F13:F63" si="3">E13-E12</f>
        <v>0</v>
      </c>
      <c r="G13" s="10">
        <f t="shared" ref="G13:G64" si="4">E13-$E$34</f>
        <v>0</v>
      </c>
      <c r="H13" s="204">
        <f>F13/(A13-A12)</f>
        <v>0</v>
      </c>
      <c r="I13" s="204"/>
      <c r="J13" s="204">
        <f>(E14-E12)/(A14-A12)</f>
        <v>0</v>
      </c>
      <c r="K13" s="204"/>
      <c r="L13" s="39" t="e">
        <f t="shared" ref="L13:L64" si="5">($E13-$M$2)/$M$4</f>
        <v>#DIV/0!</v>
      </c>
      <c r="M13" s="6" t="e">
        <f t="shared" ref="M13:M64" si="6">(L13-$A13)/$A13 * 100</f>
        <v>#DIV/0!</v>
      </c>
      <c r="N13" s="39" t="e">
        <f t="shared" ref="N13:N64" si="7">($E13-$M$2)/$M$7</f>
        <v>#DIV/0!</v>
      </c>
      <c r="O13" s="42" t="e">
        <f t="shared" ref="O13:O64" si="8">(N13-$A13)/$A13 * 100</f>
        <v>#DIV/0!</v>
      </c>
    </row>
    <row r="14" spans="1:15" x14ac:dyDescent="0.25">
      <c r="A14" s="2">
        <v>-180</v>
      </c>
      <c r="B14" s="14">
        <f>'RTD Resistance @ Temperature'!Q5</f>
        <v>0</v>
      </c>
      <c r="C14" s="10">
        <f t="shared" si="0"/>
        <v>5.0000000000000001E-4</v>
      </c>
      <c r="D14" s="10">
        <f t="shared" si="1"/>
        <v>0.5</v>
      </c>
      <c r="E14" s="10">
        <f t="shared" si="2"/>
        <v>0</v>
      </c>
      <c r="F14" s="10">
        <f t="shared" si="3"/>
        <v>0</v>
      </c>
      <c r="G14" s="10">
        <f t="shared" si="4"/>
        <v>0</v>
      </c>
      <c r="H14" s="204">
        <f t="shared" ref="H14:H63" si="9">F14/(A14-A13)</f>
        <v>0</v>
      </c>
      <c r="I14" s="204"/>
      <c r="J14" s="204">
        <f t="shared" ref="J14:J63" si="10">(E15-E13)/(A15-A13)</f>
        <v>0</v>
      </c>
      <c r="K14" s="204"/>
      <c r="L14" s="39" t="e">
        <f t="shared" si="5"/>
        <v>#DIV/0!</v>
      </c>
      <c r="M14" s="6" t="e">
        <f t="shared" si="6"/>
        <v>#DIV/0!</v>
      </c>
      <c r="N14" s="39" t="e">
        <f t="shared" si="7"/>
        <v>#DIV/0!</v>
      </c>
      <c r="O14" s="42" t="e">
        <f t="shared" si="8"/>
        <v>#DIV/0!</v>
      </c>
    </row>
    <row r="15" spans="1:15" x14ac:dyDescent="0.25">
      <c r="A15" s="2">
        <v>-170</v>
      </c>
      <c r="B15" s="14">
        <f>'RTD Resistance @ Temperature'!Q6</f>
        <v>0</v>
      </c>
      <c r="C15" s="10">
        <f t="shared" si="0"/>
        <v>5.0000000000000001E-4</v>
      </c>
      <c r="D15" s="10">
        <f t="shared" si="1"/>
        <v>0.5</v>
      </c>
      <c r="E15" s="10">
        <f t="shared" si="2"/>
        <v>0</v>
      </c>
      <c r="F15" s="10">
        <f t="shared" si="3"/>
        <v>0</v>
      </c>
      <c r="G15" s="10">
        <f t="shared" si="4"/>
        <v>0</v>
      </c>
      <c r="H15" s="204">
        <f t="shared" si="9"/>
        <v>0</v>
      </c>
      <c r="I15" s="204"/>
      <c r="J15" s="204">
        <f t="shared" si="10"/>
        <v>0</v>
      </c>
      <c r="K15" s="204"/>
      <c r="L15" s="39" t="e">
        <f t="shared" si="5"/>
        <v>#DIV/0!</v>
      </c>
      <c r="M15" s="6" t="e">
        <f t="shared" si="6"/>
        <v>#DIV/0!</v>
      </c>
      <c r="N15" s="39" t="e">
        <f t="shared" si="7"/>
        <v>#DIV/0!</v>
      </c>
      <c r="O15" s="42" t="e">
        <f t="shared" si="8"/>
        <v>#DIV/0!</v>
      </c>
    </row>
    <row r="16" spans="1:15" x14ac:dyDescent="0.25">
      <c r="A16" s="2">
        <v>-160</v>
      </c>
      <c r="B16" s="14">
        <f>'RTD Resistance @ Temperature'!Q7</f>
        <v>0</v>
      </c>
      <c r="C16" s="10">
        <f t="shared" si="0"/>
        <v>5.0000000000000001E-4</v>
      </c>
      <c r="D16" s="10">
        <f t="shared" si="1"/>
        <v>0.5</v>
      </c>
      <c r="E16" s="10">
        <f t="shared" si="2"/>
        <v>0</v>
      </c>
      <c r="F16" s="10">
        <f t="shared" si="3"/>
        <v>0</v>
      </c>
      <c r="G16" s="10">
        <f t="shared" si="4"/>
        <v>0</v>
      </c>
      <c r="H16" s="204">
        <f t="shared" si="9"/>
        <v>0</v>
      </c>
      <c r="I16" s="204"/>
      <c r="J16" s="204">
        <f t="shared" si="10"/>
        <v>0</v>
      </c>
      <c r="K16" s="204"/>
      <c r="L16" s="39" t="e">
        <f t="shared" si="5"/>
        <v>#DIV/0!</v>
      </c>
      <c r="M16" s="6" t="e">
        <f t="shared" si="6"/>
        <v>#DIV/0!</v>
      </c>
      <c r="N16" s="39" t="e">
        <f t="shared" si="7"/>
        <v>#DIV/0!</v>
      </c>
      <c r="O16" s="42" t="e">
        <f t="shared" si="8"/>
        <v>#DIV/0!</v>
      </c>
    </row>
    <row r="17" spans="1:16" x14ac:dyDescent="0.25">
      <c r="A17" s="2">
        <v>-150</v>
      </c>
      <c r="B17" s="14">
        <f>'RTD Resistance @ Temperature'!Q8</f>
        <v>0</v>
      </c>
      <c r="C17" s="10">
        <f t="shared" si="0"/>
        <v>5.0000000000000001E-4</v>
      </c>
      <c r="D17" s="10">
        <f t="shared" si="1"/>
        <v>0.5</v>
      </c>
      <c r="E17" s="10">
        <f t="shared" si="2"/>
        <v>0</v>
      </c>
      <c r="F17" s="10">
        <f t="shared" si="3"/>
        <v>0</v>
      </c>
      <c r="G17" s="10">
        <f t="shared" si="4"/>
        <v>0</v>
      </c>
      <c r="H17" s="204">
        <f t="shared" si="9"/>
        <v>0</v>
      </c>
      <c r="I17" s="204"/>
      <c r="J17" s="204">
        <f t="shared" si="10"/>
        <v>0</v>
      </c>
      <c r="K17" s="204"/>
      <c r="L17" s="39" t="e">
        <f t="shared" si="5"/>
        <v>#DIV/0!</v>
      </c>
      <c r="M17" s="6" t="e">
        <f t="shared" si="6"/>
        <v>#DIV/0!</v>
      </c>
      <c r="N17" s="39" t="e">
        <f t="shared" si="7"/>
        <v>#DIV/0!</v>
      </c>
      <c r="O17" s="42" t="e">
        <f t="shared" si="8"/>
        <v>#DIV/0!</v>
      </c>
    </row>
    <row r="18" spans="1:16" x14ac:dyDescent="0.25">
      <c r="A18" s="2">
        <v>-140</v>
      </c>
      <c r="B18" s="14">
        <f>'RTD Resistance @ Temperature'!Q9</f>
        <v>0</v>
      </c>
      <c r="C18" s="10">
        <f t="shared" si="0"/>
        <v>5.0000000000000001E-4</v>
      </c>
      <c r="D18" s="10">
        <f t="shared" si="1"/>
        <v>0.5</v>
      </c>
      <c r="E18" s="10">
        <f t="shared" si="2"/>
        <v>0</v>
      </c>
      <c r="F18" s="10">
        <f t="shared" si="3"/>
        <v>0</v>
      </c>
      <c r="G18" s="10">
        <f t="shared" si="4"/>
        <v>0</v>
      </c>
      <c r="H18" s="204">
        <f t="shared" si="9"/>
        <v>0</v>
      </c>
      <c r="I18" s="204"/>
      <c r="J18" s="204">
        <f t="shared" si="10"/>
        <v>0.14991005396761942</v>
      </c>
      <c r="K18" s="204"/>
      <c r="L18" s="39" t="e">
        <f t="shared" si="5"/>
        <v>#DIV/0!</v>
      </c>
      <c r="M18" s="6" t="e">
        <f t="shared" si="6"/>
        <v>#DIV/0!</v>
      </c>
      <c r="N18" s="39" t="e">
        <f t="shared" si="7"/>
        <v>#DIV/0!</v>
      </c>
      <c r="O18" s="42" t="e">
        <f t="shared" si="8"/>
        <v>#DIV/0!</v>
      </c>
    </row>
    <row r="19" spans="1:16" x14ac:dyDescent="0.25">
      <c r="A19" s="2">
        <v>-130</v>
      </c>
      <c r="B19" s="14">
        <f>'RTD Resistance @ Temperature'!Q10</f>
        <v>6</v>
      </c>
      <c r="C19" s="10">
        <f t="shared" si="0"/>
        <v>4.9970017989206473E-4</v>
      </c>
      <c r="D19" s="10">
        <f t="shared" si="1"/>
        <v>0.49970017989206472</v>
      </c>
      <c r="E19" s="10">
        <f t="shared" si="2"/>
        <v>2.9982010793523886</v>
      </c>
      <c r="F19" s="10">
        <f t="shared" si="3"/>
        <v>2.9982010793523886</v>
      </c>
      <c r="G19" s="10">
        <f t="shared" si="4"/>
        <v>2.9982010793523886</v>
      </c>
      <c r="H19" s="204">
        <f t="shared" si="9"/>
        <v>0.29982010793523883</v>
      </c>
      <c r="I19" s="204"/>
      <c r="J19" s="204">
        <f t="shared" si="10"/>
        <v>0</v>
      </c>
      <c r="K19" s="204"/>
      <c r="L19" s="39" t="e">
        <f t="shared" si="5"/>
        <v>#DIV/0!</v>
      </c>
      <c r="M19" s="6" t="e">
        <f t="shared" si="6"/>
        <v>#DIV/0!</v>
      </c>
      <c r="N19" s="39" t="e">
        <f t="shared" si="7"/>
        <v>#DIV/0!</v>
      </c>
      <c r="O19" s="42" t="e">
        <f t="shared" si="8"/>
        <v>#DIV/0!</v>
      </c>
    </row>
    <row r="20" spans="1:16" x14ac:dyDescent="0.25">
      <c r="A20" s="2">
        <v>-120</v>
      </c>
      <c r="B20" s="14">
        <f>'RTD Resistance @ Temperature'!Q11</f>
        <v>0</v>
      </c>
      <c r="C20" s="10">
        <f t="shared" si="0"/>
        <v>5.0000000000000001E-4</v>
      </c>
      <c r="D20" s="10">
        <f t="shared" si="1"/>
        <v>0.5</v>
      </c>
      <c r="E20" s="10">
        <f t="shared" si="2"/>
        <v>0</v>
      </c>
      <c r="F20" s="10">
        <f t="shared" si="3"/>
        <v>-2.9982010793523886</v>
      </c>
      <c r="G20" s="10">
        <f t="shared" si="4"/>
        <v>0</v>
      </c>
      <c r="H20" s="204">
        <f t="shared" si="9"/>
        <v>-0.29982010793523883</v>
      </c>
      <c r="I20" s="204"/>
      <c r="J20" s="204">
        <f t="shared" si="10"/>
        <v>-0.14991005396761942</v>
      </c>
      <c r="K20" s="204"/>
      <c r="L20" s="39" t="e">
        <f t="shared" si="5"/>
        <v>#DIV/0!</v>
      </c>
      <c r="M20" s="6" t="e">
        <f t="shared" si="6"/>
        <v>#DIV/0!</v>
      </c>
      <c r="N20" s="39" t="e">
        <f t="shared" si="7"/>
        <v>#DIV/0!</v>
      </c>
      <c r="O20" s="42" t="e">
        <f t="shared" si="8"/>
        <v>#DIV/0!</v>
      </c>
    </row>
    <row r="21" spans="1:16" x14ac:dyDescent="0.25">
      <c r="A21" s="2">
        <v>-110</v>
      </c>
      <c r="B21" s="14">
        <f>'RTD Resistance @ Temperature'!Q12</f>
        <v>0</v>
      </c>
      <c r="C21" s="10">
        <f t="shared" si="0"/>
        <v>5.0000000000000001E-4</v>
      </c>
      <c r="D21" s="10">
        <f t="shared" si="1"/>
        <v>0.5</v>
      </c>
      <c r="E21" s="10">
        <f t="shared" si="2"/>
        <v>0</v>
      </c>
      <c r="F21" s="10">
        <f t="shared" si="3"/>
        <v>0</v>
      </c>
      <c r="G21" s="10">
        <f t="shared" si="4"/>
        <v>0</v>
      </c>
      <c r="H21" s="204">
        <f t="shared" si="9"/>
        <v>0</v>
      </c>
      <c r="I21" s="204"/>
      <c r="J21" s="204">
        <f t="shared" si="10"/>
        <v>0</v>
      </c>
      <c r="K21" s="204"/>
      <c r="L21" s="39" t="e">
        <f t="shared" si="5"/>
        <v>#DIV/0!</v>
      </c>
      <c r="M21" s="6" t="e">
        <f t="shared" si="6"/>
        <v>#DIV/0!</v>
      </c>
      <c r="N21" s="39" t="e">
        <f t="shared" si="7"/>
        <v>#DIV/0!</v>
      </c>
      <c r="O21" s="42" t="e">
        <f t="shared" si="8"/>
        <v>#DIV/0!</v>
      </c>
    </row>
    <row r="22" spans="1:16" x14ac:dyDescent="0.25">
      <c r="A22" s="2">
        <v>-100</v>
      </c>
      <c r="B22" s="14">
        <f>'RTD Resistance @ Temperature'!Q13</f>
        <v>0</v>
      </c>
      <c r="C22" s="10">
        <f t="shared" si="0"/>
        <v>5.0000000000000001E-4</v>
      </c>
      <c r="D22" s="10">
        <f t="shared" si="1"/>
        <v>0.5</v>
      </c>
      <c r="E22" s="10">
        <f t="shared" si="2"/>
        <v>0</v>
      </c>
      <c r="F22" s="10">
        <f t="shared" si="3"/>
        <v>0</v>
      </c>
      <c r="G22" s="10">
        <f t="shared" si="4"/>
        <v>0</v>
      </c>
      <c r="H22" s="204">
        <f t="shared" si="9"/>
        <v>0</v>
      </c>
      <c r="I22" s="204"/>
      <c r="J22" s="204">
        <f t="shared" si="10"/>
        <v>0</v>
      </c>
      <c r="K22" s="204"/>
      <c r="L22" s="39" t="e">
        <f t="shared" si="5"/>
        <v>#DIV/0!</v>
      </c>
      <c r="M22" s="6" t="e">
        <f t="shared" si="6"/>
        <v>#DIV/0!</v>
      </c>
      <c r="N22" s="39" t="e">
        <f t="shared" si="7"/>
        <v>#DIV/0!</v>
      </c>
      <c r="O22" s="42" t="e">
        <f t="shared" si="8"/>
        <v>#DIV/0!</v>
      </c>
    </row>
    <row r="23" spans="1:16" x14ac:dyDescent="0.25">
      <c r="A23" s="2">
        <v>-90</v>
      </c>
      <c r="B23" s="14">
        <f>'RTD Resistance @ Temperature'!Q14</f>
        <v>0</v>
      </c>
      <c r="C23" s="10">
        <f t="shared" si="0"/>
        <v>5.0000000000000001E-4</v>
      </c>
      <c r="D23" s="10">
        <f t="shared" si="1"/>
        <v>0.5</v>
      </c>
      <c r="E23" s="10">
        <f t="shared" si="2"/>
        <v>0</v>
      </c>
      <c r="F23" s="10">
        <f t="shared" si="3"/>
        <v>0</v>
      </c>
      <c r="G23" s="10">
        <f t="shared" si="4"/>
        <v>0</v>
      </c>
      <c r="H23" s="204">
        <f t="shared" si="9"/>
        <v>0</v>
      </c>
      <c r="I23" s="204"/>
      <c r="J23" s="204">
        <f t="shared" si="10"/>
        <v>0</v>
      </c>
      <c r="K23" s="204"/>
      <c r="L23" s="39" t="e">
        <f t="shared" si="5"/>
        <v>#DIV/0!</v>
      </c>
      <c r="M23" s="6" t="e">
        <f t="shared" si="6"/>
        <v>#DIV/0!</v>
      </c>
      <c r="N23" s="39" t="e">
        <f t="shared" si="7"/>
        <v>#DIV/0!</v>
      </c>
      <c r="O23" s="42" t="e">
        <f t="shared" si="8"/>
        <v>#DIV/0!</v>
      </c>
    </row>
    <row r="24" spans="1:16" x14ac:dyDescent="0.25">
      <c r="A24" s="2">
        <v>-80</v>
      </c>
      <c r="B24" s="14">
        <f>'RTD Resistance @ Temperature'!Q15</f>
        <v>0</v>
      </c>
      <c r="C24" s="10">
        <f t="shared" si="0"/>
        <v>5.0000000000000001E-4</v>
      </c>
      <c r="D24" s="10">
        <f t="shared" si="1"/>
        <v>0.5</v>
      </c>
      <c r="E24" s="10">
        <f t="shared" si="2"/>
        <v>0</v>
      </c>
      <c r="F24" s="10">
        <f t="shared" si="3"/>
        <v>0</v>
      </c>
      <c r="G24" s="10">
        <f t="shared" si="4"/>
        <v>0</v>
      </c>
      <c r="H24" s="204">
        <f t="shared" si="9"/>
        <v>0</v>
      </c>
      <c r="I24" s="204"/>
      <c r="J24" s="204">
        <f t="shared" si="10"/>
        <v>0</v>
      </c>
      <c r="K24" s="204"/>
      <c r="L24" s="39" t="e">
        <f t="shared" si="5"/>
        <v>#DIV/0!</v>
      </c>
      <c r="M24" s="6" t="e">
        <f t="shared" si="6"/>
        <v>#DIV/0!</v>
      </c>
      <c r="N24" s="39" t="e">
        <f t="shared" si="7"/>
        <v>#DIV/0!</v>
      </c>
      <c r="O24" s="42" t="e">
        <f t="shared" si="8"/>
        <v>#DIV/0!</v>
      </c>
    </row>
    <row r="25" spans="1:16" x14ac:dyDescent="0.25">
      <c r="A25" s="2">
        <v>-70</v>
      </c>
      <c r="B25" s="14">
        <f>'RTD Resistance @ Temperature'!Q16</f>
        <v>0</v>
      </c>
      <c r="C25" s="10">
        <f t="shared" si="0"/>
        <v>5.0000000000000001E-4</v>
      </c>
      <c r="D25" s="10">
        <f t="shared" si="1"/>
        <v>0.5</v>
      </c>
      <c r="E25" s="10">
        <f t="shared" si="2"/>
        <v>0</v>
      </c>
      <c r="F25" s="10">
        <f t="shared" si="3"/>
        <v>0</v>
      </c>
      <c r="G25" s="10">
        <f t="shared" si="4"/>
        <v>0</v>
      </c>
      <c r="H25" s="204">
        <f t="shared" si="9"/>
        <v>0</v>
      </c>
      <c r="I25" s="204"/>
      <c r="J25" s="204">
        <f t="shared" si="10"/>
        <v>0</v>
      </c>
      <c r="K25" s="204"/>
      <c r="L25" s="39" t="e">
        <f t="shared" si="5"/>
        <v>#DIV/0!</v>
      </c>
      <c r="M25" s="6" t="e">
        <f t="shared" si="6"/>
        <v>#DIV/0!</v>
      </c>
      <c r="N25" s="39" t="e">
        <f t="shared" si="7"/>
        <v>#DIV/0!</v>
      </c>
      <c r="O25" s="42" t="e">
        <f t="shared" si="8"/>
        <v>#DIV/0!</v>
      </c>
    </row>
    <row r="26" spans="1:16" x14ac:dyDescent="0.25">
      <c r="A26" s="2">
        <v>-60</v>
      </c>
      <c r="B26" s="14">
        <f>'RTD Resistance @ Temperature'!Q17</f>
        <v>0</v>
      </c>
      <c r="C26" s="10">
        <f t="shared" si="0"/>
        <v>5.0000000000000001E-4</v>
      </c>
      <c r="D26" s="10">
        <f t="shared" si="1"/>
        <v>0.5</v>
      </c>
      <c r="E26" s="10">
        <f t="shared" si="2"/>
        <v>0</v>
      </c>
      <c r="F26" s="10">
        <f t="shared" si="3"/>
        <v>0</v>
      </c>
      <c r="G26" s="10">
        <f t="shared" si="4"/>
        <v>0</v>
      </c>
      <c r="H26" s="204">
        <f t="shared" si="9"/>
        <v>0</v>
      </c>
      <c r="I26" s="204"/>
      <c r="J26" s="204">
        <f t="shared" si="10"/>
        <v>0</v>
      </c>
      <c r="K26" s="204"/>
      <c r="L26" s="39" t="e">
        <f t="shared" si="5"/>
        <v>#DIV/0!</v>
      </c>
      <c r="M26" s="6" t="e">
        <f t="shared" si="6"/>
        <v>#DIV/0!</v>
      </c>
      <c r="N26" s="39" t="e">
        <f t="shared" si="7"/>
        <v>#DIV/0!</v>
      </c>
      <c r="O26" s="42" t="e">
        <f t="shared" si="8"/>
        <v>#DIV/0!</v>
      </c>
    </row>
    <row r="27" spans="1:16" x14ac:dyDescent="0.25">
      <c r="A27" s="2">
        <v>-50</v>
      </c>
      <c r="B27" s="14">
        <f>'RTD Resistance @ Temperature'!Q18</f>
        <v>0</v>
      </c>
      <c r="C27" s="10">
        <f t="shared" si="0"/>
        <v>5.0000000000000001E-4</v>
      </c>
      <c r="D27" s="10">
        <f t="shared" si="1"/>
        <v>0.5</v>
      </c>
      <c r="E27" s="10">
        <f t="shared" si="2"/>
        <v>0</v>
      </c>
      <c r="F27" s="10">
        <f t="shared" si="3"/>
        <v>0</v>
      </c>
      <c r="G27" s="10">
        <f t="shared" si="4"/>
        <v>0</v>
      </c>
      <c r="H27" s="204">
        <f t="shared" si="9"/>
        <v>0</v>
      </c>
      <c r="I27" s="204"/>
      <c r="J27" s="204">
        <f t="shared" si="10"/>
        <v>0</v>
      </c>
      <c r="K27" s="204"/>
      <c r="L27" s="39" t="e">
        <f t="shared" si="5"/>
        <v>#DIV/0!</v>
      </c>
      <c r="M27" s="6" t="e">
        <f t="shared" si="6"/>
        <v>#DIV/0!</v>
      </c>
      <c r="N27" s="39" t="e">
        <f t="shared" si="7"/>
        <v>#DIV/0!</v>
      </c>
      <c r="O27" s="42" t="e">
        <f t="shared" si="8"/>
        <v>#DIV/0!</v>
      </c>
    </row>
    <row r="28" spans="1:16" x14ac:dyDescent="0.25">
      <c r="A28" s="2">
        <v>-40</v>
      </c>
      <c r="B28" s="14">
        <f>'RTD Resistance @ Temperature'!Q19</f>
        <v>0</v>
      </c>
      <c r="C28" s="10">
        <f t="shared" si="0"/>
        <v>5.0000000000000001E-4</v>
      </c>
      <c r="D28" s="10">
        <f t="shared" si="1"/>
        <v>0.5</v>
      </c>
      <c r="E28" s="10">
        <f t="shared" si="2"/>
        <v>0</v>
      </c>
      <c r="F28" s="10">
        <f t="shared" si="3"/>
        <v>0</v>
      </c>
      <c r="G28" s="10">
        <f t="shared" si="4"/>
        <v>0</v>
      </c>
      <c r="H28" s="204">
        <f t="shared" si="9"/>
        <v>0</v>
      </c>
      <c r="I28" s="204"/>
      <c r="J28" s="204">
        <f t="shared" si="10"/>
        <v>0</v>
      </c>
      <c r="K28" s="204"/>
      <c r="L28" s="39" t="e">
        <f t="shared" si="5"/>
        <v>#DIV/0!</v>
      </c>
      <c r="M28" s="6" t="e">
        <f t="shared" si="6"/>
        <v>#DIV/0!</v>
      </c>
      <c r="N28" s="39" t="e">
        <f t="shared" si="7"/>
        <v>#DIV/0!</v>
      </c>
      <c r="O28" s="42" t="e">
        <f t="shared" si="8"/>
        <v>#DIV/0!</v>
      </c>
    </row>
    <row r="29" spans="1:16" x14ac:dyDescent="0.25">
      <c r="A29" s="2">
        <v>-30</v>
      </c>
      <c r="B29" s="14">
        <f>'RTD Resistance @ Temperature'!Q20</f>
        <v>0</v>
      </c>
      <c r="C29" s="10">
        <f t="shared" si="0"/>
        <v>5.0000000000000001E-4</v>
      </c>
      <c r="D29" s="10">
        <f t="shared" si="1"/>
        <v>0.5</v>
      </c>
      <c r="E29" s="10">
        <f t="shared" si="2"/>
        <v>0</v>
      </c>
      <c r="F29" s="10">
        <f t="shared" si="3"/>
        <v>0</v>
      </c>
      <c r="G29" s="10">
        <f t="shared" si="4"/>
        <v>0</v>
      </c>
      <c r="H29" s="204">
        <f t="shared" si="9"/>
        <v>0</v>
      </c>
      <c r="I29" s="204"/>
      <c r="J29" s="204">
        <f t="shared" si="10"/>
        <v>0</v>
      </c>
      <c r="K29" s="204"/>
      <c r="L29" s="39" t="e">
        <f t="shared" si="5"/>
        <v>#DIV/0!</v>
      </c>
      <c r="M29" s="6" t="e">
        <f t="shared" si="6"/>
        <v>#DIV/0!</v>
      </c>
      <c r="N29" s="39" t="e">
        <f t="shared" si="7"/>
        <v>#DIV/0!</v>
      </c>
      <c r="O29" s="42" t="e">
        <f t="shared" si="8"/>
        <v>#DIV/0!</v>
      </c>
    </row>
    <row r="30" spans="1:16" x14ac:dyDescent="0.25">
      <c r="A30" s="2">
        <v>-20</v>
      </c>
      <c r="B30" s="14">
        <f>'RTD Resistance @ Temperature'!Q21</f>
        <v>0</v>
      </c>
      <c r="C30" s="10">
        <f t="shared" si="0"/>
        <v>5.0000000000000001E-4</v>
      </c>
      <c r="D30" s="10">
        <f t="shared" si="1"/>
        <v>0.5</v>
      </c>
      <c r="E30" s="10">
        <f t="shared" si="2"/>
        <v>0</v>
      </c>
      <c r="F30" s="10">
        <f t="shared" si="3"/>
        <v>0</v>
      </c>
      <c r="G30" s="10">
        <f t="shared" si="4"/>
        <v>0</v>
      </c>
      <c r="H30" s="204">
        <f t="shared" si="9"/>
        <v>0</v>
      </c>
      <c r="I30" s="204"/>
      <c r="J30" s="204">
        <f t="shared" si="10"/>
        <v>0</v>
      </c>
      <c r="K30" s="204"/>
      <c r="L30" s="39" t="e">
        <f t="shared" si="5"/>
        <v>#DIV/0!</v>
      </c>
      <c r="M30" s="6" t="e">
        <f t="shared" si="6"/>
        <v>#DIV/0!</v>
      </c>
      <c r="N30" s="39" t="e">
        <f t="shared" si="7"/>
        <v>#DIV/0!</v>
      </c>
      <c r="O30" s="42" t="e">
        <f t="shared" si="8"/>
        <v>#DIV/0!</v>
      </c>
    </row>
    <row r="31" spans="1:16" x14ac:dyDescent="0.25">
      <c r="A31" s="2">
        <v>-10</v>
      </c>
      <c r="B31" s="14">
        <f>'RTD Resistance @ Temperature'!Q22</f>
        <v>0</v>
      </c>
      <c r="C31" s="10">
        <f t="shared" si="0"/>
        <v>5.0000000000000001E-4</v>
      </c>
      <c r="D31" s="10">
        <f t="shared" si="1"/>
        <v>0.5</v>
      </c>
      <c r="E31" s="10">
        <f t="shared" si="2"/>
        <v>0</v>
      </c>
      <c r="F31" s="10">
        <f t="shared" si="3"/>
        <v>0</v>
      </c>
      <c r="G31" s="10">
        <f t="shared" si="4"/>
        <v>0</v>
      </c>
      <c r="H31" s="204">
        <f t="shared" si="9"/>
        <v>0</v>
      </c>
      <c r="I31" s="204"/>
      <c r="J31" s="204">
        <f t="shared" si="10"/>
        <v>0</v>
      </c>
      <c r="K31" s="204"/>
      <c r="L31" s="39" t="e">
        <f t="shared" si="5"/>
        <v>#DIV/0!</v>
      </c>
      <c r="M31" s="6" t="e">
        <f t="shared" si="6"/>
        <v>#DIV/0!</v>
      </c>
      <c r="N31" s="39" t="e">
        <f t="shared" si="7"/>
        <v>#DIV/0!</v>
      </c>
      <c r="O31" s="42" t="e">
        <f t="shared" si="8"/>
        <v>#DIV/0!</v>
      </c>
    </row>
    <row r="32" spans="1:16" ht="16.5" x14ac:dyDescent="0.3">
      <c r="A32" s="12">
        <v>0</v>
      </c>
      <c r="B32" s="51">
        <f>'RTD Resistance @ Temperature'!Q23</f>
        <v>0</v>
      </c>
      <c r="C32" s="52">
        <f t="shared" si="0"/>
        <v>5.0000000000000001E-4</v>
      </c>
      <c r="D32" s="52">
        <f t="shared" si="1"/>
        <v>0.5</v>
      </c>
      <c r="E32" s="52">
        <f t="shared" si="2"/>
        <v>0</v>
      </c>
      <c r="F32" s="52">
        <f t="shared" si="3"/>
        <v>0</v>
      </c>
      <c r="G32" s="52">
        <f t="shared" si="4"/>
        <v>0</v>
      </c>
      <c r="H32" s="210">
        <f t="shared" si="9"/>
        <v>0</v>
      </c>
      <c r="I32" s="210"/>
      <c r="J32" s="210">
        <f>(E33-E31)/(A33-A31)</f>
        <v>0</v>
      </c>
      <c r="K32" s="210"/>
      <c r="L32" s="53" t="e">
        <f t="shared" si="5"/>
        <v>#DIV/0!</v>
      </c>
      <c r="M32" s="54">
        <v>0</v>
      </c>
      <c r="N32" s="53" t="e">
        <f t="shared" si="7"/>
        <v>#DIV/0!</v>
      </c>
      <c r="O32" s="55">
        <v>0</v>
      </c>
      <c r="P32" s="13" t="s">
        <v>67</v>
      </c>
    </row>
    <row r="33" spans="1:16" x14ac:dyDescent="0.25">
      <c r="A33" s="12">
        <v>10</v>
      </c>
      <c r="B33" s="14">
        <f>'RTD Resistance @ Temperature'!Q24</f>
        <v>0</v>
      </c>
      <c r="C33" s="10">
        <f t="shared" si="0"/>
        <v>5.0000000000000001E-4</v>
      </c>
      <c r="D33" s="10">
        <f t="shared" si="1"/>
        <v>0.5</v>
      </c>
      <c r="E33" s="10">
        <f t="shared" si="2"/>
        <v>0</v>
      </c>
      <c r="F33" s="10">
        <f t="shared" si="3"/>
        <v>0</v>
      </c>
      <c r="G33" s="10">
        <f t="shared" si="4"/>
        <v>0</v>
      </c>
      <c r="H33" s="204">
        <f t="shared" si="9"/>
        <v>0</v>
      </c>
      <c r="I33" s="204"/>
      <c r="J33" s="204">
        <f t="shared" si="10"/>
        <v>0</v>
      </c>
      <c r="K33" s="204"/>
      <c r="L33" s="39" t="e">
        <f t="shared" si="5"/>
        <v>#DIV/0!</v>
      </c>
      <c r="M33" s="6" t="e">
        <f t="shared" si="6"/>
        <v>#DIV/0!</v>
      </c>
      <c r="N33" s="39" t="e">
        <f t="shared" si="7"/>
        <v>#DIV/0!</v>
      </c>
      <c r="O33" s="42" t="e">
        <f t="shared" si="8"/>
        <v>#DIV/0!</v>
      </c>
    </row>
    <row r="34" spans="1:16" x14ac:dyDescent="0.25">
      <c r="A34" s="12">
        <v>20</v>
      </c>
      <c r="B34" s="46">
        <f>'RTD Resistance @ Temperature'!Q25</f>
        <v>0</v>
      </c>
      <c r="C34" s="47">
        <f>$D$4 / ($D$5 + $D$6 + B34)</f>
        <v>5.0000000000000001E-4</v>
      </c>
      <c r="D34" s="47">
        <f t="shared" si="1"/>
        <v>0.5</v>
      </c>
      <c r="E34" s="47">
        <f t="shared" si="2"/>
        <v>0</v>
      </c>
      <c r="F34" s="47">
        <f>E34-E33</f>
        <v>0</v>
      </c>
      <c r="G34" s="47">
        <f t="shared" si="4"/>
        <v>0</v>
      </c>
      <c r="H34" s="211">
        <f t="shared" si="9"/>
        <v>0</v>
      </c>
      <c r="I34" s="211"/>
      <c r="J34" s="211">
        <f t="shared" si="10"/>
        <v>0</v>
      </c>
      <c r="K34" s="211"/>
      <c r="L34" s="48" t="e">
        <f t="shared" si="5"/>
        <v>#DIV/0!</v>
      </c>
      <c r="M34" s="49" t="e">
        <f t="shared" si="6"/>
        <v>#DIV/0!</v>
      </c>
      <c r="N34" s="48" t="e">
        <f t="shared" si="7"/>
        <v>#DIV/0!</v>
      </c>
      <c r="O34" s="50" t="e">
        <f t="shared" si="8"/>
        <v>#DIV/0!</v>
      </c>
      <c r="P34" s="1" t="s">
        <v>66</v>
      </c>
    </row>
    <row r="35" spans="1:16" x14ac:dyDescent="0.25">
      <c r="A35" s="12">
        <v>30</v>
      </c>
      <c r="B35" s="14">
        <f>'RTD Resistance @ Temperature'!Q26</f>
        <v>0</v>
      </c>
      <c r="C35" s="10">
        <f t="shared" si="0"/>
        <v>5.0000000000000001E-4</v>
      </c>
      <c r="D35" s="10">
        <f t="shared" si="1"/>
        <v>0.5</v>
      </c>
      <c r="E35" s="10">
        <f t="shared" si="2"/>
        <v>0</v>
      </c>
      <c r="F35" s="10">
        <f t="shared" si="3"/>
        <v>0</v>
      </c>
      <c r="G35" s="10">
        <f t="shared" si="4"/>
        <v>0</v>
      </c>
      <c r="H35" s="204">
        <f t="shared" si="9"/>
        <v>0</v>
      </c>
      <c r="I35" s="204"/>
      <c r="J35" s="204">
        <f t="shared" si="10"/>
        <v>0</v>
      </c>
      <c r="K35" s="204"/>
      <c r="L35" s="39" t="e">
        <f t="shared" si="5"/>
        <v>#DIV/0!</v>
      </c>
      <c r="M35" s="6" t="e">
        <f t="shared" si="6"/>
        <v>#DIV/0!</v>
      </c>
      <c r="N35" s="39" t="e">
        <f t="shared" si="7"/>
        <v>#DIV/0!</v>
      </c>
      <c r="O35" s="42" t="e">
        <f t="shared" si="8"/>
        <v>#DIV/0!</v>
      </c>
    </row>
    <row r="36" spans="1:16" x14ac:dyDescent="0.25">
      <c r="A36" s="12">
        <v>40</v>
      </c>
      <c r="B36" s="14">
        <f>'RTD Resistance @ Temperature'!Q27</f>
        <v>0</v>
      </c>
      <c r="C36" s="10">
        <f t="shared" si="0"/>
        <v>5.0000000000000001E-4</v>
      </c>
      <c r="D36" s="10">
        <f t="shared" si="1"/>
        <v>0.5</v>
      </c>
      <c r="E36" s="10">
        <f t="shared" si="2"/>
        <v>0</v>
      </c>
      <c r="F36" s="10">
        <f t="shared" si="3"/>
        <v>0</v>
      </c>
      <c r="G36" s="10">
        <f t="shared" si="4"/>
        <v>0</v>
      </c>
      <c r="H36" s="204">
        <f t="shared" si="9"/>
        <v>0</v>
      </c>
      <c r="I36" s="204"/>
      <c r="J36" s="204">
        <f t="shared" si="10"/>
        <v>0.14991005396761942</v>
      </c>
      <c r="K36" s="204"/>
      <c r="L36" s="39" t="e">
        <f t="shared" si="5"/>
        <v>#DIV/0!</v>
      </c>
      <c r="M36" s="6" t="e">
        <f t="shared" si="6"/>
        <v>#DIV/0!</v>
      </c>
      <c r="N36" s="39" t="e">
        <f t="shared" si="7"/>
        <v>#DIV/0!</v>
      </c>
      <c r="O36" s="42" t="e">
        <f t="shared" si="8"/>
        <v>#DIV/0!</v>
      </c>
    </row>
    <row r="37" spans="1:16" x14ac:dyDescent="0.25">
      <c r="A37" s="12">
        <v>50</v>
      </c>
      <c r="B37" s="14">
        <f>'RTD Resistance @ Temperature'!Q28</f>
        <v>6</v>
      </c>
      <c r="C37" s="10">
        <f t="shared" si="0"/>
        <v>4.9970017989206473E-4</v>
      </c>
      <c r="D37" s="10">
        <f t="shared" si="1"/>
        <v>0.49970017989206472</v>
      </c>
      <c r="E37" s="10">
        <f t="shared" si="2"/>
        <v>2.9982010793523886</v>
      </c>
      <c r="F37" s="10">
        <f t="shared" si="3"/>
        <v>2.9982010793523886</v>
      </c>
      <c r="G37" s="10">
        <f t="shared" si="4"/>
        <v>2.9982010793523886</v>
      </c>
      <c r="H37" s="204">
        <f t="shared" si="9"/>
        <v>0.29982010793523883</v>
      </c>
      <c r="I37" s="204"/>
      <c r="J37" s="204">
        <f t="shared" si="10"/>
        <v>0</v>
      </c>
      <c r="K37" s="204"/>
      <c r="L37" s="39" t="e">
        <f t="shared" si="5"/>
        <v>#DIV/0!</v>
      </c>
      <c r="M37" s="6" t="e">
        <f t="shared" si="6"/>
        <v>#DIV/0!</v>
      </c>
      <c r="N37" s="39" t="e">
        <f t="shared" si="7"/>
        <v>#DIV/0!</v>
      </c>
      <c r="O37" s="42" t="e">
        <f t="shared" si="8"/>
        <v>#DIV/0!</v>
      </c>
    </row>
    <row r="38" spans="1:16" x14ac:dyDescent="0.25">
      <c r="A38" s="12">
        <v>60</v>
      </c>
      <c r="B38" s="14">
        <f>'RTD Resistance @ Temperature'!Q29</f>
        <v>0</v>
      </c>
      <c r="C38" s="10">
        <f t="shared" si="0"/>
        <v>5.0000000000000001E-4</v>
      </c>
      <c r="D38" s="10">
        <f t="shared" si="1"/>
        <v>0.5</v>
      </c>
      <c r="E38" s="10">
        <f t="shared" si="2"/>
        <v>0</v>
      </c>
      <c r="F38" s="10">
        <f t="shared" si="3"/>
        <v>-2.9982010793523886</v>
      </c>
      <c r="G38" s="10">
        <f t="shared" si="4"/>
        <v>0</v>
      </c>
      <c r="H38" s="204">
        <f t="shared" si="9"/>
        <v>-0.29982010793523883</v>
      </c>
      <c r="I38" s="204"/>
      <c r="J38" s="204">
        <f t="shared" si="10"/>
        <v>-0.14991005396761942</v>
      </c>
      <c r="K38" s="204"/>
      <c r="L38" s="39" t="e">
        <f t="shared" si="5"/>
        <v>#DIV/0!</v>
      </c>
      <c r="M38" s="6" t="e">
        <f t="shared" si="6"/>
        <v>#DIV/0!</v>
      </c>
      <c r="N38" s="39" t="e">
        <f t="shared" si="7"/>
        <v>#DIV/0!</v>
      </c>
      <c r="O38" s="42" t="e">
        <f t="shared" si="8"/>
        <v>#DIV/0!</v>
      </c>
    </row>
    <row r="39" spans="1:16" x14ac:dyDescent="0.25">
      <c r="A39" s="12">
        <v>70</v>
      </c>
      <c r="B39" s="14">
        <f>'RTD Resistance @ Temperature'!Q30</f>
        <v>0</v>
      </c>
      <c r="C39" s="10">
        <f t="shared" si="0"/>
        <v>5.0000000000000001E-4</v>
      </c>
      <c r="D39" s="10">
        <f t="shared" si="1"/>
        <v>0.5</v>
      </c>
      <c r="E39" s="10">
        <f t="shared" si="2"/>
        <v>0</v>
      </c>
      <c r="F39" s="10">
        <f t="shared" si="3"/>
        <v>0</v>
      </c>
      <c r="G39" s="10">
        <f t="shared" si="4"/>
        <v>0</v>
      </c>
      <c r="H39" s="204">
        <f t="shared" si="9"/>
        <v>0</v>
      </c>
      <c r="I39" s="204"/>
      <c r="J39" s="204">
        <f t="shared" si="10"/>
        <v>0</v>
      </c>
      <c r="K39" s="204"/>
      <c r="L39" s="39" t="e">
        <f t="shared" si="5"/>
        <v>#DIV/0!</v>
      </c>
      <c r="M39" s="6" t="e">
        <f t="shared" si="6"/>
        <v>#DIV/0!</v>
      </c>
      <c r="N39" s="39" t="e">
        <f t="shared" si="7"/>
        <v>#DIV/0!</v>
      </c>
      <c r="O39" s="42" t="e">
        <f t="shared" si="8"/>
        <v>#DIV/0!</v>
      </c>
    </row>
    <row r="40" spans="1:16" x14ac:dyDescent="0.25">
      <c r="A40" s="12">
        <v>80</v>
      </c>
      <c r="B40" s="14">
        <f>'RTD Resistance @ Temperature'!Q31</f>
        <v>0</v>
      </c>
      <c r="C40" s="10">
        <f t="shared" si="0"/>
        <v>5.0000000000000001E-4</v>
      </c>
      <c r="D40" s="10">
        <f t="shared" si="1"/>
        <v>0.5</v>
      </c>
      <c r="E40" s="10">
        <f t="shared" si="2"/>
        <v>0</v>
      </c>
      <c r="F40" s="10">
        <f t="shared" si="3"/>
        <v>0</v>
      </c>
      <c r="G40" s="10">
        <f t="shared" si="4"/>
        <v>0</v>
      </c>
      <c r="H40" s="204">
        <f t="shared" si="9"/>
        <v>0</v>
      </c>
      <c r="I40" s="204"/>
      <c r="J40" s="204">
        <f t="shared" si="10"/>
        <v>0</v>
      </c>
      <c r="K40" s="204"/>
      <c r="L40" s="39" t="e">
        <f t="shared" si="5"/>
        <v>#DIV/0!</v>
      </c>
      <c r="M40" s="6" t="e">
        <f t="shared" si="6"/>
        <v>#DIV/0!</v>
      </c>
      <c r="N40" s="39" t="e">
        <f t="shared" si="7"/>
        <v>#DIV/0!</v>
      </c>
      <c r="O40" s="42" t="e">
        <f t="shared" si="8"/>
        <v>#DIV/0!</v>
      </c>
    </row>
    <row r="41" spans="1:16" x14ac:dyDescent="0.25">
      <c r="A41" s="12">
        <v>90</v>
      </c>
      <c r="B41" s="14">
        <f>'RTD Resistance @ Temperature'!Q32</f>
        <v>0</v>
      </c>
      <c r="C41" s="10">
        <f t="shared" si="0"/>
        <v>5.0000000000000001E-4</v>
      </c>
      <c r="D41" s="10">
        <f t="shared" si="1"/>
        <v>0.5</v>
      </c>
      <c r="E41" s="10">
        <f t="shared" si="2"/>
        <v>0</v>
      </c>
      <c r="F41" s="10">
        <f t="shared" si="3"/>
        <v>0</v>
      </c>
      <c r="G41" s="10">
        <f t="shared" si="4"/>
        <v>0</v>
      </c>
      <c r="H41" s="204">
        <f t="shared" si="9"/>
        <v>0</v>
      </c>
      <c r="I41" s="204"/>
      <c r="J41" s="204">
        <f t="shared" si="10"/>
        <v>0</v>
      </c>
      <c r="K41" s="204"/>
      <c r="L41" s="39" t="e">
        <f t="shared" si="5"/>
        <v>#DIV/0!</v>
      </c>
      <c r="M41" s="6" t="e">
        <f t="shared" si="6"/>
        <v>#DIV/0!</v>
      </c>
      <c r="N41" s="39" t="e">
        <f t="shared" si="7"/>
        <v>#DIV/0!</v>
      </c>
      <c r="O41" s="42" t="e">
        <f t="shared" si="8"/>
        <v>#DIV/0!</v>
      </c>
    </row>
    <row r="42" spans="1:16" x14ac:dyDescent="0.25">
      <c r="A42" s="12">
        <v>100</v>
      </c>
      <c r="B42" s="14">
        <f>'RTD Resistance @ Temperature'!Q33</f>
        <v>0</v>
      </c>
      <c r="C42" s="10">
        <f t="shared" si="0"/>
        <v>5.0000000000000001E-4</v>
      </c>
      <c r="D42" s="10">
        <f t="shared" si="1"/>
        <v>0.5</v>
      </c>
      <c r="E42" s="10">
        <f t="shared" si="2"/>
        <v>0</v>
      </c>
      <c r="F42" s="10">
        <f t="shared" si="3"/>
        <v>0</v>
      </c>
      <c r="G42" s="10">
        <f t="shared" si="4"/>
        <v>0</v>
      </c>
      <c r="H42" s="204">
        <f t="shared" si="9"/>
        <v>0</v>
      </c>
      <c r="I42" s="204"/>
      <c r="J42" s="204">
        <f t="shared" si="10"/>
        <v>0</v>
      </c>
      <c r="K42" s="204"/>
      <c r="L42" s="39" t="e">
        <f t="shared" si="5"/>
        <v>#DIV/0!</v>
      </c>
      <c r="M42" s="6" t="e">
        <f t="shared" si="6"/>
        <v>#DIV/0!</v>
      </c>
      <c r="N42" s="39" t="e">
        <f t="shared" si="7"/>
        <v>#DIV/0!</v>
      </c>
      <c r="O42" s="42" t="e">
        <f t="shared" si="8"/>
        <v>#DIV/0!</v>
      </c>
    </row>
    <row r="43" spans="1:16" x14ac:dyDescent="0.25">
      <c r="A43" s="12">
        <v>110</v>
      </c>
      <c r="B43" s="14">
        <f>'RTD Resistance @ Temperature'!Q34</f>
        <v>0</v>
      </c>
      <c r="C43" s="10">
        <f t="shared" si="0"/>
        <v>5.0000000000000001E-4</v>
      </c>
      <c r="D43" s="10">
        <f t="shared" si="1"/>
        <v>0.5</v>
      </c>
      <c r="E43" s="10">
        <f t="shared" si="2"/>
        <v>0</v>
      </c>
      <c r="F43" s="10">
        <f t="shared" si="3"/>
        <v>0</v>
      </c>
      <c r="G43" s="10">
        <f t="shared" si="4"/>
        <v>0</v>
      </c>
      <c r="H43" s="204">
        <f t="shared" si="9"/>
        <v>0</v>
      </c>
      <c r="I43" s="204"/>
      <c r="J43" s="204">
        <f t="shared" si="10"/>
        <v>0</v>
      </c>
      <c r="K43" s="204"/>
      <c r="L43" s="39" t="e">
        <f t="shared" si="5"/>
        <v>#DIV/0!</v>
      </c>
      <c r="M43" s="6" t="e">
        <f t="shared" si="6"/>
        <v>#DIV/0!</v>
      </c>
      <c r="N43" s="39" t="e">
        <f t="shared" si="7"/>
        <v>#DIV/0!</v>
      </c>
      <c r="O43" s="42" t="e">
        <f t="shared" si="8"/>
        <v>#DIV/0!</v>
      </c>
    </row>
    <row r="44" spans="1:16" x14ac:dyDescent="0.25">
      <c r="A44" s="12">
        <v>120</v>
      </c>
      <c r="B44" s="14">
        <f>'RTD Resistance @ Temperature'!Q35</f>
        <v>0</v>
      </c>
      <c r="C44" s="10">
        <f t="shared" si="0"/>
        <v>5.0000000000000001E-4</v>
      </c>
      <c r="D44" s="10">
        <f t="shared" si="1"/>
        <v>0.5</v>
      </c>
      <c r="E44" s="10">
        <f t="shared" si="2"/>
        <v>0</v>
      </c>
      <c r="F44" s="10">
        <f t="shared" si="3"/>
        <v>0</v>
      </c>
      <c r="G44" s="10">
        <f t="shared" si="4"/>
        <v>0</v>
      </c>
      <c r="H44" s="204">
        <f t="shared" si="9"/>
        <v>0</v>
      </c>
      <c r="I44" s="204"/>
      <c r="J44" s="204">
        <f t="shared" si="10"/>
        <v>0</v>
      </c>
      <c r="K44" s="204"/>
      <c r="L44" s="39" t="e">
        <f t="shared" si="5"/>
        <v>#DIV/0!</v>
      </c>
      <c r="M44" s="6" t="e">
        <f t="shared" si="6"/>
        <v>#DIV/0!</v>
      </c>
      <c r="N44" s="39" t="e">
        <f t="shared" si="7"/>
        <v>#DIV/0!</v>
      </c>
      <c r="O44" s="42" t="e">
        <f t="shared" si="8"/>
        <v>#DIV/0!</v>
      </c>
    </row>
    <row r="45" spans="1:16" x14ac:dyDescent="0.25">
      <c r="A45" s="12">
        <v>130</v>
      </c>
      <c r="B45" s="14">
        <f>'RTD Resistance @ Temperature'!Q36</f>
        <v>0</v>
      </c>
      <c r="C45" s="10">
        <f t="shared" si="0"/>
        <v>5.0000000000000001E-4</v>
      </c>
      <c r="D45" s="10">
        <f t="shared" si="1"/>
        <v>0.5</v>
      </c>
      <c r="E45" s="10">
        <f t="shared" si="2"/>
        <v>0</v>
      </c>
      <c r="F45" s="10">
        <f t="shared" si="3"/>
        <v>0</v>
      </c>
      <c r="G45" s="10">
        <f t="shared" si="4"/>
        <v>0</v>
      </c>
      <c r="H45" s="204">
        <f t="shared" si="9"/>
        <v>0</v>
      </c>
      <c r="I45" s="204"/>
      <c r="J45" s="204">
        <f t="shared" si="10"/>
        <v>0</v>
      </c>
      <c r="K45" s="204"/>
      <c r="L45" s="39" t="e">
        <f t="shared" si="5"/>
        <v>#DIV/0!</v>
      </c>
      <c r="M45" s="6" t="e">
        <f t="shared" si="6"/>
        <v>#DIV/0!</v>
      </c>
      <c r="N45" s="39" t="e">
        <f>($E45-$M$2)/$M$7</f>
        <v>#DIV/0!</v>
      </c>
      <c r="O45" s="42" t="e">
        <f t="shared" si="8"/>
        <v>#DIV/0!</v>
      </c>
    </row>
    <row r="46" spans="1:16" x14ac:dyDescent="0.25">
      <c r="A46" s="12">
        <v>140</v>
      </c>
      <c r="B46" s="14">
        <f>'RTD Resistance @ Temperature'!Q37</f>
        <v>0</v>
      </c>
      <c r="C46" s="10">
        <f t="shared" si="0"/>
        <v>5.0000000000000001E-4</v>
      </c>
      <c r="D46" s="10">
        <f t="shared" si="1"/>
        <v>0.5</v>
      </c>
      <c r="E46" s="10">
        <f t="shared" si="2"/>
        <v>0</v>
      </c>
      <c r="F46" s="10">
        <f t="shared" si="3"/>
        <v>0</v>
      </c>
      <c r="G46" s="10">
        <f t="shared" si="4"/>
        <v>0</v>
      </c>
      <c r="H46" s="204">
        <f t="shared" si="9"/>
        <v>0</v>
      </c>
      <c r="I46" s="204"/>
      <c r="J46" s="204">
        <f t="shared" si="10"/>
        <v>0</v>
      </c>
      <c r="K46" s="204"/>
      <c r="L46" s="39" t="e">
        <f t="shared" si="5"/>
        <v>#DIV/0!</v>
      </c>
      <c r="M46" s="6" t="e">
        <f t="shared" si="6"/>
        <v>#DIV/0!</v>
      </c>
      <c r="N46" s="39" t="e">
        <f t="shared" si="7"/>
        <v>#DIV/0!</v>
      </c>
      <c r="O46" s="42" t="e">
        <f t="shared" si="8"/>
        <v>#DIV/0!</v>
      </c>
    </row>
    <row r="47" spans="1:16" x14ac:dyDescent="0.25">
      <c r="A47" s="12">
        <v>150</v>
      </c>
      <c r="B47" s="14">
        <f>'RTD Resistance @ Temperature'!Q38</f>
        <v>0</v>
      </c>
      <c r="C47" s="10">
        <f t="shared" si="0"/>
        <v>5.0000000000000001E-4</v>
      </c>
      <c r="D47" s="10">
        <f t="shared" si="1"/>
        <v>0.5</v>
      </c>
      <c r="E47" s="10">
        <f t="shared" si="2"/>
        <v>0</v>
      </c>
      <c r="F47" s="10">
        <f t="shared" si="3"/>
        <v>0</v>
      </c>
      <c r="G47" s="10">
        <f t="shared" si="4"/>
        <v>0</v>
      </c>
      <c r="H47" s="204">
        <f t="shared" si="9"/>
        <v>0</v>
      </c>
      <c r="I47" s="204"/>
      <c r="J47" s="204">
        <f t="shared" si="10"/>
        <v>0</v>
      </c>
      <c r="K47" s="204"/>
      <c r="L47" s="39" t="e">
        <f t="shared" si="5"/>
        <v>#DIV/0!</v>
      </c>
      <c r="M47" s="6" t="e">
        <f t="shared" si="6"/>
        <v>#DIV/0!</v>
      </c>
      <c r="N47" s="39" t="e">
        <f t="shared" si="7"/>
        <v>#DIV/0!</v>
      </c>
      <c r="O47" s="42" t="e">
        <f t="shared" si="8"/>
        <v>#DIV/0!</v>
      </c>
    </row>
    <row r="48" spans="1:16" x14ac:dyDescent="0.25">
      <c r="A48" s="12">
        <v>160</v>
      </c>
      <c r="B48" s="14">
        <f>'RTD Resistance @ Temperature'!Q39</f>
        <v>0</v>
      </c>
      <c r="C48" s="10">
        <f t="shared" si="0"/>
        <v>5.0000000000000001E-4</v>
      </c>
      <c r="D48" s="10">
        <f t="shared" si="1"/>
        <v>0.5</v>
      </c>
      <c r="E48" s="10">
        <f t="shared" si="2"/>
        <v>0</v>
      </c>
      <c r="F48" s="10">
        <f t="shared" si="3"/>
        <v>0</v>
      </c>
      <c r="G48" s="10">
        <f t="shared" si="4"/>
        <v>0</v>
      </c>
      <c r="H48" s="204">
        <f t="shared" si="9"/>
        <v>0</v>
      </c>
      <c r="I48" s="204"/>
      <c r="J48" s="204">
        <f t="shared" si="10"/>
        <v>0</v>
      </c>
      <c r="K48" s="204"/>
      <c r="L48" s="39" t="e">
        <f t="shared" si="5"/>
        <v>#DIV/0!</v>
      </c>
      <c r="M48" s="6" t="e">
        <f t="shared" si="6"/>
        <v>#DIV/0!</v>
      </c>
      <c r="N48" s="39" t="e">
        <f t="shared" si="7"/>
        <v>#DIV/0!</v>
      </c>
      <c r="O48" s="42" t="e">
        <f t="shared" si="8"/>
        <v>#DIV/0!</v>
      </c>
    </row>
    <row r="49" spans="1:15" x14ac:dyDescent="0.25">
      <c r="A49" s="12">
        <v>170</v>
      </c>
      <c r="B49" s="14">
        <f>'RTD Resistance @ Temperature'!Q40</f>
        <v>0</v>
      </c>
      <c r="C49" s="10">
        <f t="shared" si="0"/>
        <v>5.0000000000000001E-4</v>
      </c>
      <c r="D49" s="10">
        <f t="shared" si="1"/>
        <v>0.5</v>
      </c>
      <c r="E49" s="10">
        <f t="shared" si="2"/>
        <v>0</v>
      </c>
      <c r="F49" s="10">
        <f t="shared" si="3"/>
        <v>0</v>
      </c>
      <c r="G49" s="10">
        <f t="shared" si="4"/>
        <v>0</v>
      </c>
      <c r="H49" s="204">
        <f t="shared" si="9"/>
        <v>0</v>
      </c>
      <c r="I49" s="204"/>
      <c r="J49" s="204">
        <f t="shared" si="10"/>
        <v>0</v>
      </c>
      <c r="K49" s="204"/>
      <c r="L49" s="39" t="e">
        <f t="shared" si="5"/>
        <v>#DIV/0!</v>
      </c>
      <c r="M49" s="6" t="e">
        <f t="shared" si="6"/>
        <v>#DIV/0!</v>
      </c>
      <c r="N49" s="39" t="e">
        <f t="shared" si="7"/>
        <v>#DIV/0!</v>
      </c>
      <c r="O49" s="42" t="e">
        <f t="shared" si="8"/>
        <v>#DIV/0!</v>
      </c>
    </row>
    <row r="50" spans="1:15" x14ac:dyDescent="0.25">
      <c r="A50" s="12">
        <v>180</v>
      </c>
      <c r="B50" s="14">
        <f>'RTD Resistance @ Temperature'!Q41</f>
        <v>0</v>
      </c>
      <c r="C50" s="10">
        <f t="shared" si="0"/>
        <v>5.0000000000000001E-4</v>
      </c>
      <c r="D50" s="10">
        <f t="shared" si="1"/>
        <v>0.5</v>
      </c>
      <c r="E50" s="10">
        <f t="shared" si="2"/>
        <v>0</v>
      </c>
      <c r="F50" s="10">
        <f t="shared" si="3"/>
        <v>0</v>
      </c>
      <c r="G50" s="10">
        <f t="shared" si="4"/>
        <v>0</v>
      </c>
      <c r="H50" s="204">
        <f t="shared" si="9"/>
        <v>0</v>
      </c>
      <c r="I50" s="204"/>
      <c r="J50" s="204">
        <f t="shared" si="10"/>
        <v>0</v>
      </c>
      <c r="K50" s="204"/>
      <c r="L50" s="39" t="e">
        <f t="shared" si="5"/>
        <v>#DIV/0!</v>
      </c>
      <c r="M50" s="6" t="e">
        <f t="shared" si="6"/>
        <v>#DIV/0!</v>
      </c>
      <c r="N50" s="39" t="e">
        <f t="shared" si="7"/>
        <v>#DIV/0!</v>
      </c>
      <c r="O50" s="42" t="e">
        <f t="shared" si="8"/>
        <v>#DIV/0!</v>
      </c>
    </row>
    <row r="51" spans="1:15" x14ac:dyDescent="0.25">
      <c r="A51" s="12">
        <v>190</v>
      </c>
      <c r="B51" s="14">
        <f>'RTD Resistance @ Temperature'!Q42</f>
        <v>0</v>
      </c>
      <c r="C51" s="10">
        <f t="shared" si="0"/>
        <v>5.0000000000000001E-4</v>
      </c>
      <c r="D51" s="10">
        <f t="shared" si="1"/>
        <v>0.5</v>
      </c>
      <c r="E51" s="10">
        <f t="shared" si="2"/>
        <v>0</v>
      </c>
      <c r="F51" s="10">
        <f t="shared" si="3"/>
        <v>0</v>
      </c>
      <c r="G51" s="10">
        <f t="shared" si="4"/>
        <v>0</v>
      </c>
      <c r="H51" s="204">
        <f t="shared" si="9"/>
        <v>0</v>
      </c>
      <c r="I51" s="204"/>
      <c r="J51" s="204">
        <f t="shared" si="10"/>
        <v>0</v>
      </c>
      <c r="K51" s="204"/>
      <c r="L51" s="39" t="e">
        <f t="shared" si="5"/>
        <v>#DIV/0!</v>
      </c>
      <c r="M51" s="6" t="e">
        <f t="shared" si="6"/>
        <v>#DIV/0!</v>
      </c>
      <c r="N51" s="39" t="e">
        <f t="shared" si="7"/>
        <v>#DIV/0!</v>
      </c>
      <c r="O51" s="42" t="e">
        <f t="shared" si="8"/>
        <v>#DIV/0!</v>
      </c>
    </row>
    <row r="52" spans="1:15" x14ac:dyDescent="0.25">
      <c r="A52" s="12">
        <v>200</v>
      </c>
      <c r="B52" s="14">
        <f>'RTD Resistance @ Temperature'!Q43</f>
        <v>0</v>
      </c>
      <c r="C52" s="10">
        <f t="shared" si="0"/>
        <v>5.0000000000000001E-4</v>
      </c>
      <c r="D52" s="10">
        <f t="shared" si="1"/>
        <v>0.5</v>
      </c>
      <c r="E52" s="10">
        <f t="shared" si="2"/>
        <v>0</v>
      </c>
      <c r="F52" s="10">
        <f t="shared" si="3"/>
        <v>0</v>
      </c>
      <c r="G52" s="10">
        <f t="shared" si="4"/>
        <v>0</v>
      </c>
      <c r="H52" s="204">
        <f t="shared" si="9"/>
        <v>0</v>
      </c>
      <c r="I52" s="204"/>
      <c r="J52" s="204">
        <f t="shared" si="10"/>
        <v>0</v>
      </c>
      <c r="K52" s="204"/>
      <c r="L52" s="39" t="e">
        <f t="shared" si="5"/>
        <v>#DIV/0!</v>
      </c>
      <c r="M52" s="6" t="e">
        <f t="shared" si="6"/>
        <v>#DIV/0!</v>
      </c>
      <c r="N52" s="39" t="e">
        <f t="shared" si="7"/>
        <v>#DIV/0!</v>
      </c>
      <c r="O52" s="42" t="e">
        <f t="shared" si="8"/>
        <v>#DIV/0!</v>
      </c>
    </row>
    <row r="53" spans="1:15" x14ac:dyDescent="0.25">
      <c r="A53" s="12">
        <v>210</v>
      </c>
      <c r="B53" s="14">
        <f>'RTD Resistance @ Temperature'!Q44</f>
        <v>0</v>
      </c>
      <c r="C53" s="10">
        <f t="shared" si="0"/>
        <v>5.0000000000000001E-4</v>
      </c>
      <c r="D53" s="10">
        <f t="shared" si="1"/>
        <v>0.5</v>
      </c>
      <c r="E53" s="10">
        <f t="shared" si="2"/>
        <v>0</v>
      </c>
      <c r="F53" s="10">
        <f t="shared" si="3"/>
        <v>0</v>
      </c>
      <c r="G53" s="10">
        <f t="shared" si="4"/>
        <v>0</v>
      </c>
      <c r="H53" s="204">
        <f t="shared" si="9"/>
        <v>0</v>
      </c>
      <c r="I53" s="204"/>
      <c r="J53" s="204">
        <f t="shared" si="10"/>
        <v>0</v>
      </c>
      <c r="K53" s="204"/>
      <c r="L53" s="39" t="e">
        <f t="shared" si="5"/>
        <v>#DIV/0!</v>
      </c>
      <c r="M53" s="6" t="e">
        <f t="shared" si="6"/>
        <v>#DIV/0!</v>
      </c>
      <c r="N53" s="39" t="e">
        <f t="shared" si="7"/>
        <v>#DIV/0!</v>
      </c>
      <c r="O53" s="42" t="e">
        <f t="shared" si="8"/>
        <v>#DIV/0!</v>
      </c>
    </row>
    <row r="54" spans="1:15" x14ac:dyDescent="0.25">
      <c r="A54" s="12">
        <v>220</v>
      </c>
      <c r="B54" s="14">
        <f>'RTD Resistance @ Temperature'!Q45</f>
        <v>0</v>
      </c>
      <c r="C54" s="10">
        <f t="shared" si="0"/>
        <v>5.0000000000000001E-4</v>
      </c>
      <c r="D54" s="10">
        <f t="shared" si="1"/>
        <v>0.5</v>
      </c>
      <c r="E54" s="10">
        <f t="shared" si="2"/>
        <v>0</v>
      </c>
      <c r="F54" s="10">
        <f t="shared" si="3"/>
        <v>0</v>
      </c>
      <c r="G54" s="10">
        <f t="shared" si="4"/>
        <v>0</v>
      </c>
      <c r="H54" s="204">
        <f t="shared" si="9"/>
        <v>0</v>
      </c>
      <c r="I54" s="204"/>
      <c r="J54" s="204">
        <f t="shared" si="10"/>
        <v>0</v>
      </c>
      <c r="K54" s="204"/>
      <c r="L54" s="39" t="e">
        <f t="shared" si="5"/>
        <v>#DIV/0!</v>
      </c>
      <c r="M54" s="6" t="e">
        <f t="shared" si="6"/>
        <v>#DIV/0!</v>
      </c>
      <c r="N54" s="39" t="e">
        <f t="shared" si="7"/>
        <v>#DIV/0!</v>
      </c>
      <c r="O54" s="42" t="e">
        <f t="shared" si="8"/>
        <v>#DIV/0!</v>
      </c>
    </row>
    <row r="55" spans="1:15" x14ac:dyDescent="0.25">
      <c r="A55" s="12">
        <v>230</v>
      </c>
      <c r="B55" s="14">
        <f>'RTD Resistance @ Temperature'!Q46</f>
        <v>0</v>
      </c>
      <c r="C55" s="10">
        <f t="shared" si="0"/>
        <v>5.0000000000000001E-4</v>
      </c>
      <c r="D55" s="10">
        <f t="shared" si="1"/>
        <v>0.5</v>
      </c>
      <c r="E55" s="10">
        <f t="shared" si="2"/>
        <v>0</v>
      </c>
      <c r="F55" s="10">
        <f t="shared" si="3"/>
        <v>0</v>
      </c>
      <c r="G55" s="10">
        <f t="shared" si="4"/>
        <v>0</v>
      </c>
      <c r="H55" s="204">
        <f t="shared" si="9"/>
        <v>0</v>
      </c>
      <c r="I55" s="204"/>
      <c r="J55" s="204">
        <f t="shared" si="10"/>
        <v>0</v>
      </c>
      <c r="K55" s="204"/>
      <c r="L55" s="39" t="e">
        <f t="shared" si="5"/>
        <v>#DIV/0!</v>
      </c>
      <c r="M55" s="6" t="e">
        <f t="shared" si="6"/>
        <v>#DIV/0!</v>
      </c>
      <c r="N55" s="39" t="e">
        <f t="shared" si="7"/>
        <v>#DIV/0!</v>
      </c>
      <c r="O55" s="42" t="e">
        <f t="shared" si="8"/>
        <v>#DIV/0!</v>
      </c>
    </row>
    <row r="56" spans="1:15" x14ac:dyDescent="0.25">
      <c r="A56" s="12">
        <v>240</v>
      </c>
      <c r="B56" s="14">
        <f>'RTD Resistance @ Temperature'!Q47</f>
        <v>0</v>
      </c>
      <c r="C56" s="10">
        <f t="shared" si="0"/>
        <v>5.0000000000000001E-4</v>
      </c>
      <c r="D56" s="10">
        <f t="shared" si="1"/>
        <v>0.5</v>
      </c>
      <c r="E56" s="10">
        <f t="shared" si="2"/>
        <v>0</v>
      </c>
      <c r="F56" s="10">
        <f t="shared" si="3"/>
        <v>0</v>
      </c>
      <c r="G56" s="10">
        <f t="shared" si="4"/>
        <v>0</v>
      </c>
      <c r="H56" s="204">
        <f t="shared" si="9"/>
        <v>0</v>
      </c>
      <c r="I56" s="204"/>
      <c r="J56" s="204">
        <f t="shared" si="10"/>
        <v>0</v>
      </c>
      <c r="K56" s="204"/>
      <c r="L56" s="39" t="e">
        <f t="shared" si="5"/>
        <v>#DIV/0!</v>
      </c>
      <c r="M56" s="6" t="e">
        <f t="shared" si="6"/>
        <v>#DIV/0!</v>
      </c>
      <c r="N56" s="39" t="e">
        <f t="shared" si="7"/>
        <v>#DIV/0!</v>
      </c>
      <c r="O56" s="42" t="e">
        <f t="shared" si="8"/>
        <v>#DIV/0!</v>
      </c>
    </row>
    <row r="57" spans="1:15" x14ac:dyDescent="0.25">
      <c r="A57" s="12">
        <v>250</v>
      </c>
      <c r="B57" s="14">
        <f>'RTD Resistance @ Temperature'!Q48</f>
        <v>0</v>
      </c>
      <c r="C57" s="10">
        <f t="shared" si="0"/>
        <v>5.0000000000000001E-4</v>
      </c>
      <c r="D57" s="10">
        <f t="shared" si="1"/>
        <v>0.5</v>
      </c>
      <c r="E57" s="10">
        <f t="shared" si="2"/>
        <v>0</v>
      </c>
      <c r="F57" s="10">
        <f t="shared" si="3"/>
        <v>0</v>
      </c>
      <c r="G57" s="10">
        <f t="shared" si="4"/>
        <v>0</v>
      </c>
      <c r="H57" s="204">
        <f t="shared" si="9"/>
        <v>0</v>
      </c>
      <c r="I57" s="204"/>
      <c r="J57" s="204">
        <f t="shared" si="10"/>
        <v>0</v>
      </c>
      <c r="K57" s="204"/>
      <c r="L57" s="39" t="e">
        <f t="shared" si="5"/>
        <v>#DIV/0!</v>
      </c>
      <c r="M57" s="6" t="e">
        <f t="shared" si="6"/>
        <v>#DIV/0!</v>
      </c>
      <c r="N57" s="39" t="e">
        <f t="shared" si="7"/>
        <v>#DIV/0!</v>
      </c>
      <c r="O57" s="42" t="e">
        <f t="shared" si="8"/>
        <v>#DIV/0!</v>
      </c>
    </row>
    <row r="58" spans="1:15" x14ac:dyDescent="0.25">
      <c r="A58" s="12">
        <v>260</v>
      </c>
      <c r="B58" s="14">
        <f>'RTD Resistance @ Temperature'!Q49</f>
        <v>0</v>
      </c>
      <c r="C58" s="10">
        <f t="shared" si="0"/>
        <v>5.0000000000000001E-4</v>
      </c>
      <c r="D58" s="10">
        <f t="shared" si="1"/>
        <v>0.5</v>
      </c>
      <c r="E58" s="10">
        <f t="shared" si="2"/>
        <v>0</v>
      </c>
      <c r="F58" s="10">
        <f t="shared" si="3"/>
        <v>0</v>
      </c>
      <c r="G58" s="10">
        <f t="shared" si="4"/>
        <v>0</v>
      </c>
      <c r="H58" s="204">
        <f t="shared" si="9"/>
        <v>0</v>
      </c>
      <c r="I58" s="204"/>
      <c r="J58" s="204">
        <f t="shared" si="10"/>
        <v>0</v>
      </c>
      <c r="K58" s="204"/>
      <c r="L58" s="39" t="e">
        <f t="shared" si="5"/>
        <v>#DIV/0!</v>
      </c>
      <c r="M58" s="6" t="e">
        <f t="shared" si="6"/>
        <v>#DIV/0!</v>
      </c>
      <c r="N58" s="39" t="e">
        <f t="shared" si="7"/>
        <v>#DIV/0!</v>
      </c>
      <c r="O58" s="42" t="e">
        <f t="shared" si="8"/>
        <v>#DIV/0!</v>
      </c>
    </row>
    <row r="59" spans="1:15" x14ac:dyDescent="0.25">
      <c r="A59" s="12">
        <v>270</v>
      </c>
      <c r="B59" s="14">
        <f>'RTD Resistance @ Temperature'!Q50</f>
        <v>0</v>
      </c>
      <c r="C59" s="10">
        <f t="shared" si="0"/>
        <v>5.0000000000000001E-4</v>
      </c>
      <c r="D59" s="10">
        <f t="shared" si="1"/>
        <v>0.5</v>
      </c>
      <c r="E59" s="10">
        <f t="shared" si="2"/>
        <v>0</v>
      </c>
      <c r="F59" s="10">
        <f t="shared" si="3"/>
        <v>0</v>
      </c>
      <c r="G59" s="10">
        <f t="shared" si="4"/>
        <v>0</v>
      </c>
      <c r="H59" s="204">
        <f t="shared" si="9"/>
        <v>0</v>
      </c>
      <c r="I59" s="204"/>
      <c r="J59" s="204">
        <f t="shared" si="10"/>
        <v>0</v>
      </c>
      <c r="K59" s="204"/>
      <c r="L59" s="39" t="e">
        <f t="shared" si="5"/>
        <v>#DIV/0!</v>
      </c>
      <c r="M59" s="6" t="e">
        <f t="shared" si="6"/>
        <v>#DIV/0!</v>
      </c>
      <c r="N59" s="39" t="e">
        <f t="shared" si="7"/>
        <v>#DIV/0!</v>
      </c>
      <c r="O59" s="42" t="e">
        <f t="shared" si="8"/>
        <v>#DIV/0!</v>
      </c>
    </row>
    <row r="60" spans="1:15" x14ac:dyDescent="0.25">
      <c r="A60" s="12">
        <v>280</v>
      </c>
      <c r="B60" s="14">
        <f>'RTD Resistance @ Temperature'!Q51</f>
        <v>0</v>
      </c>
      <c r="C60" s="10">
        <f t="shared" si="0"/>
        <v>5.0000000000000001E-4</v>
      </c>
      <c r="D60" s="10">
        <f t="shared" si="1"/>
        <v>0.5</v>
      </c>
      <c r="E60" s="10">
        <f t="shared" si="2"/>
        <v>0</v>
      </c>
      <c r="F60" s="10">
        <f t="shared" si="3"/>
        <v>0</v>
      </c>
      <c r="G60" s="10">
        <f t="shared" si="4"/>
        <v>0</v>
      </c>
      <c r="H60" s="204">
        <f t="shared" si="9"/>
        <v>0</v>
      </c>
      <c r="I60" s="204"/>
      <c r="J60" s="204">
        <f t="shared" si="10"/>
        <v>0</v>
      </c>
      <c r="K60" s="204"/>
      <c r="L60" s="39" t="e">
        <f t="shared" si="5"/>
        <v>#DIV/0!</v>
      </c>
      <c r="M60" s="6" t="e">
        <f t="shared" si="6"/>
        <v>#DIV/0!</v>
      </c>
      <c r="N60" s="39" t="e">
        <f t="shared" si="7"/>
        <v>#DIV/0!</v>
      </c>
      <c r="O60" s="42" t="e">
        <f t="shared" si="8"/>
        <v>#DIV/0!</v>
      </c>
    </row>
    <row r="61" spans="1:15" x14ac:dyDescent="0.25">
      <c r="A61" s="12">
        <v>290</v>
      </c>
      <c r="B61" s="14">
        <f>'RTD Resistance @ Temperature'!Q52</f>
        <v>0</v>
      </c>
      <c r="C61" s="10">
        <f t="shared" si="0"/>
        <v>5.0000000000000001E-4</v>
      </c>
      <c r="D61" s="10">
        <f t="shared" si="1"/>
        <v>0.5</v>
      </c>
      <c r="E61" s="10">
        <f t="shared" si="2"/>
        <v>0</v>
      </c>
      <c r="F61" s="10">
        <f t="shared" si="3"/>
        <v>0</v>
      </c>
      <c r="G61" s="10">
        <f t="shared" si="4"/>
        <v>0</v>
      </c>
      <c r="H61" s="204">
        <f t="shared" si="9"/>
        <v>0</v>
      </c>
      <c r="I61" s="204"/>
      <c r="J61" s="204">
        <f t="shared" si="10"/>
        <v>0</v>
      </c>
      <c r="K61" s="204"/>
      <c r="L61" s="39" t="e">
        <f t="shared" si="5"/>
        <v>#DIV/0!</v>
      </c>
      <c r="M61" s="6" t="e">
        <f t="shared" si="6"/>
        <v>#DIV/0!</v>
      </c>
      <c r="N61" s="39" t="e">
        <f t="shared" si="7"/>
        <v>#DIV/0!</v>
      </c>
      <c r="O61" s="42" t="e">
        <f t="shared" si="8"/>
        <v>#DIV/0!</v>
      </c>
    </row>
    <row r="62" spans="1:15" x14ac:dyDescent="0.25">
      <c r="A62" s="12">
        <v>300</v>
      </c>
      <c r="B62" s="14">
        <f>'RTD Resistance @ Temperature'!Q53</f>
        <v>0</v>
      </c>
      <c r="C62" s="10">
        <f t="shared" si="0"/>
        <v>5.0000000000000001E-4</v>
      </c>
      <c r="D62" s="10">
        <f t="shared" si="1"/>
        <v>0.5</v>
      </c>
      <c r="E62" s="10">
        <f t="shared" si="2"/>
        <v>0</v>
      </c>
      <c r="F62" s="10">
        <f t="shared" si="3"/>
        <v>0</v>
      </c>
      <c r="G62" s="10">
        <f t="shared" si="4"/>
        <v>0</v>
      </c>
      <c r="H62" s="204">
        <f t="shared" si="9"/>
        <v>0</v>
      </c>
      <c r="I62" s="204"/>
      <c r="J62" s="204">
        <f t="shared" si="10"/>
        <v>0</v>
      </c>
      <c r="K62" s="204"/>
      <c r="L62" s="39" t="e">
        <f t="shared" si="5"/>
        <v>#DIV/0!</v>
      </c>
      <c r="M62" s="6" t="e">
        <f t="shared" si="6"/>
        <v>#DIV/0!</v>
      </c>
      <c r="N62" s="39" t="e">
        <f t="shared" si="7"/>
        <v>#DIV/0!</v>
      </c>
      <c r="O62" s="42" t="e">
        <f t="shared" si="8"/>
        <v>#DIV/0!</v>
      </c>
    </row>
    <row r="63" spans="1:15" x14ac:dyDescent="0.25">
      <c r="A63" s="12">
        <v>310</v>
      </c>
      <c r="B63" s="14">
        <f>'RTD Resistance @ Temperature'!Q54</f>
        <v>0</v>
      </c>
      <c r="C63" s="10">
        <f t="shared" si="0"/>
        <v>5.0000000000000001E-4</v>
      </c>
      <c r="D63" s="10">
        <f t="shared" si="1"/>
        <v>0.5</v>
      </c>
      <c r="E63" s="10">
        <f t="shared" si="2"/>
        <v>0</v>
      </c>
      <c r="F63" s="10">
        <f t="shared" si="3"/>
        <v>0</v>
      </c>
      <c r="G63" s="10">
        <f t="shared" si="4"/>
        <v>0</v>
      </c>
      <c r="H63" s="204">
        <f t="shared" si="9"/>
        <v>0</v>
      </c>
      <c r="I63" s="204"/>
      <c r="J63" s="204">
        <f t="shared" si="10"/>
        <v>0</v>
      </c>
      <c r="K63" s="204"/>
      <c r="L63" s="39" t="e">
        <f t="shared" si="5"/>
        <v>#DIV/0!</v>
      </c>
      <c r="M63" s="6" t="e">
        <f t="shared" si="6"/>
        <v>#DIV/0!</v>
      </c>
      <c r="N63" s="39" t="e">
        <f t="shared" si="7"/>
        <v>#DIV/0!</v>
      </c>
      <c r="O63" s="42" t="e">
        <f t="shared" si="8"/>
        <v>#DIV/0!</v>
      </c>
    </row>
    <row r="64" spans="1:15" ht="15.75" thickBot="1" x14ac:dyDescent="0.3">
      <c r="A64" s="3">
        <v>320</v>
      </c>
      <c r="B64" s="15">
        <f>'RTD Resistance @ Temperature'!Q55</f>
        <v>0</v>
      </c>
      <c r="C64" s="11">
        <f t="shared" si="0"/>
        <v>5.0000000000000001E-4</v>
      </c>
      <c r="D64" s="11">
        <f t="shared" si="1"/>
        <v>0.5</v>
      </c>
      <c r="E64" s="11">
        <f t="shared" si="2"/>
        <v>0</v>
      </c>
      <c r="F64" s="11">
        <f>E64-E63</f>
        <v>0</v>
      </c>
      <c r="G64" s="11">
        <f t="shared" si="4"/>
        <v>0</v>
      </c>
      <c r="H64" s="212">
        <f>F64/(A64-A63)</f>
        <v>0</v>
      </c>
      <c r="I64" s="212"/>
      <c r="J64" s="212">
        <f>(E64-E63) / (A64-A63)</f>
        <v>0</v>
      </c>
      <c r="K64" s="212"/>
      <c r="L64" s="43" t="e">
        <f t="shared" si="5"/>
        <v>#DIV/0!</v>
      </c>
      <c r="M64" s="7" t="e">
        <f t="shared" si="6"/>
        <v>#DIV/0!</v>
      </c>
      <c r="N64" s="43" t="e">
        <f t="shared" si="7"/>
        <v>#DIV/0!</v>
      </c>
      <c r="O64" s="44" t="e">
        <f t="shared" si="8"/>
        <v>#DIV/0!</v>
      </c>
    </row>
  </sheetData>
  <sheetProtection algorithmName="SHA-512" hashValue="Eys0YvYV+nRqaxMY7pO5v1mTftmrezpQ+ZEp0mZGfoKmw/FUrreAaGve9baxaDZ3R7fWXHk57kt/21YZT80OvA==" saltValue="IBpjg7wKiLgabrLeIGbjpA==" spinCount="100000" sheet="1" objects="1" scenarios="1"/>
  <mergeCells count="124">
    <mergeCell ref="A1:K1"/>
    <mergeCell ref="L1:N1"/>
    <mergeCell ref="F2:F8"/>
    <mergeCell ref="H5:I5"/>
    <mergeCell ref="H6:I6"/>
    <mergeCell ref="H7:I7"/>
    <mergeCell ref="G10:G11"/>
    <mergeCell ref="H10:I11"/>
    <mergeCell ref="J10:K11"/>
    <mergeCell ref="L10:L11"/>
    <mergeCell ref="M10:M11"/>
    <mergeCell ref="O10:O11"/>
    <mergeCell ref="A10:A11"/>
    <mergeCell ref="B10:B11"/>
    <mergeCell ref="C10:C11"/>
    <mergeCell ref="D10:D11"/>
    <mergeCell ref="E10:E11"/>
    <mergeCell ref="F10:F11"/>
    <mergeCell ref="H15:I15"/>
    <mergeCell ref="J15:K15"/>
    <mergeCell ref="H16:I16"/>
    <mergeCell ref="J16:K16"/>
    <mergeCell ref="H17:I17"/>
    <mergeCell ref="J17:K17"/>
    <mergeCell ref="H12:I12"/>
    <mergeCell ref="J12:K12"/>
    <mergeCell ref="H13:I13"/>
    <mergeCell ref="J13:K13"/>
    <mergeCell ref="H14:I14"/>
    <mergeCell ref="J14:K14"/>
    <mergeCell ref="H21:I21"/>
    <mergeCell ref="J21:K21"/>
    <mergeCell ref="H22:I22"/>
    <mergeCell ref="J22:K22"/>
    <mergeCell ref="H23:I23"/>
    <mergeCell ref="J23:K23"/>
    <mergeCell ref="H18:I18"/>
    <mergeCell ref="J18:K18"/>
    <mergeCell ref="H19:I19"/>
    <mergeCell ref="J19:K19"/>
    <mergeCell ref="H20:I20"/>
    <mergeCell ref="J20:K20"/>
    <mergeCell ref="H27:I27"/>
    <mergeCell ref="J27:K27"/>
    <mergeCell ref="H28:I28"/>
    <mergeCell ref="J28:K28"/>
    <mergeCell ref="H29:I29"/>
    <mergeCell ref="J29:K29"/>
    <mergeCell ref="H24:I24"/>
    <mergeCell ref="J24:K24"/>
    <mergeCell ref="H25:I25"/>
    <mergeCell ref="J25:K25"/>
    <mergeCell ref="H26:I26"/>
    <mergeCell ref="J26:K26"/>
    <mergeCell ref="H33:I33"/>
    <mergeCell ref="J33:K33"/>
    <mergeCell ref="H34:I34"/>
    <mergeCell ref="J34:K34"/>
    <mergeCell ref="H35:I35"/>
    <mergeCell ref="J35:K35"/>
    <mergeCell ref="H30:I30"/>
    <mergeCell ref="J30:K30"/>
    <mergeCell ref="H31:I31"/>
    <mergeCell ref="J31:K31"/>
    <mergeCell ref="H32:I32"/>
    <mergeCell ref="J32:K32"/>
    <mergeCell ref="H39:I39"/>
    <mergeCell ref="J39:K39"/>
    <mergeCell ref="H40:I40"/>
    <mergeCell ref="J40:K40"/>
    <mergeCell ref="H41:I41"/>
    <mergeCell ref="J41:K41"/>
    <mergeCell ref="H36:I36"/>
    <mergeCell ref="J36:K36"/>
    <mergeCell ref="H37:I37"/>
    <mergeCell ref="J37:K37"/>
    <mergeCell ref="H38:I38"/>
    <mergeCell ref="J38:K38"/>
    <mergeCell ref="H45:I45"/>
    <mergeCell ref="J45:K45"/>
    <mergeCell ref="H46:I46"/>
    <mergeCell ref="J46:K46"/>
    <mergeCell ref="H47:I47"/>
    <mergeCell ref="J47:K47"/>
    <mergeCell ref="H42:I42"/>
    <mergeCell ref="J42:K42"/>
    <mergeCell ref="H43:I43"/>
    <mergeCell ref="J43:K43"/>
    <mergeCell ref="H44:I44"/>
    <mergeCell ref="J44:K44"/>
    <mergeCell ref="H51:I51"/>
    <mergeCell ref="J51:K51"/>
    <mergeCell ref="H52:I52"/>
    <mergeCell ref="J52:K52"/>
    <mergeCell ref="H53:I53"/>
    <mergeCell ref="J53:K53"/>
    <mergeCell ref="H48:I48"/>
    <mergeCell ref="J48:K48"/>
    <mergeCell ref="H49:I49"/>
    <mergeCell ref="J49:K49"/>
    <mergeCell ref="H50:I50"/>
    <mergeCell ref="J50:K50"/>
    <mergeCell ref="H57:I57"/>
    <mergeCell ref="J57:K57"/>
    <mergeCell ref="H58:I58"/>
    <mergeCell ref="J58:K58"/>
    <mergeCell ref="H59:I59"/>
    <mergeCell ref="J59:K59"/>
    <mergeCell ref="H54:I54"/>
    <mergeCell ref="J54:K54"/>
    <mergeCell ref="H55:I55"/>
    <mergeCell ref="J55:K55"/>
    <mergeCell ref="H56:I56"/>
    <mergeCell ref="J56:K56"/>
    <mergeCell ref="H63:I63"/>
    <mergeCell ref="J63:K63"/>
    <mergeCell ref="H64:I64"/>
    <mergeCell ref="J64:K64"/>
    <mergeCell ref="H60:I60"/>
    <mergeCell ref="J60:K60"/>
    <mergeCell ref="H61:I61"/>
    <mergeCell ref="J61:K61"/>
    <mergeCell ref="H62:I62"/>
    <mergeCell ref="J62:K6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7177E-3B52-46BA-9D1A-27086FE0840C}">
  <sheetPr codeName="Sheet5"/>
  <dimension ref="A1:E7"/>
  <sheetViews>
    <sheetView workbookViewId="0">
      <selection activeCell="B2" sqref="B2"/>
    </sheetView>
  </sheetViews>
  <sheetFormatPr defaultRowHeight="15" x14ac:dyDescent="0.25"/>
  <sheetData>
    <row r="1" spans="1:5" x14ac:dyDescent="0.25">
      <c r="A1" s="201" t="s">
        <v>15</v>
      </c>
      <c r="B1" s="201"/>
      <c r="D1" s="201" t="s">
        <v>71</v>
      </c>
      <c r="E1" s="213"/>
    </row>
    <row r="2" spans="1:5" x14ac:dyDescent="0.25">
      <c r="A2">
        <v>4700</v>
      </c>
      <c r="B2" s="5" t="s">
        <v>19</v>
      </c>
      <c r="D2">
        <v>100</v>
      </c>
      <c r="E2" s="5" t="s">
        <v>19</v>
      </c>
    </row>
    <row r="3" spans="1:5" x14ac:dyDescent="0.25">
      <c r="A3">
        <v>5000</v>
      </c>
      <c r="B3" s="5" t="s">
        <v>19</v>
      </c>
      <c r="D3">
        <v>500</v>
      </c>
      <c r="E3" s="5" t="s">
        <v>19</v>
      </c>
    </row>
    <row r="4" spans="1:5" x14ac:dyDescent="0.25">
      <c r="A4">
        <v>7500</v>
      </c>
      <c r="B4" s="5" t="s">
        <v>19</v>
      </c>
      <c r="D4">
        <v>1000</v>
      </c>
      <c r="E4" s="5" t="s">
        <v>19</v>
      </c>
    </row>
    <row r="5" spans="1:5" x14ac:dyDescent="0.25">
      <c r="A5">
        <v>10000</v>
      </c>
      <c r="B5" s="5" t="s">
        <v>19</v>
      </c>
      <c r="D5" t="s">
        <v>76</v>
      </c>
      <c r="E5" s="5" t="s">
        <v>19</v>
      </c>
    </row>
    <row r="6" spans="1:5" x14ac:dyDescent="0.25">
      <c r="A6">
        <v>15000</v>
      </c>
      <c r="B6" s="5" t="s">
        <v>19</v>
      </c>
    </row>
    <row r="7" spans="1:5" x14ac:dyDescent="0.25">
      <c r="A7">
        <v>20000</v>
      </c>
      <c r="B7" s="5" t="s">
        <v>19</v>
      </c>
    </row>
  </sheetData>
  <sheetProtection algorithmName="SHA-512" hashValue="pX+CxXWf2WVbIYaEdufdQ6NKvKR3IMxfez2hAfTDv/2ldeczEYm9PWuEcKK1scNB48j+vi9hqYmE+q1WNTzM4A==" saltValue="I9f83itbofV6XkHlIw02RQ==" spinCount="100000" sheet="1" objects="1" scenarios="1"/>
  <mergeCells count="2">
    <mergeCell ref="A1:B1"/>
    <mergeCell ref="D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RTD Data</vt:lpstr>
      <vt:lpstr>RTD Resistance @ Temperature</vt:lpstr>
      <vt:lpstr>PT100 Tables</vt:lpstr>
      <vt:lpstr>PT500 Tables</vt:lpstr>
      <vt:lpstr>PT1000 Tables</vt:lpstr>
      <vt:lpstr>PT-CUSTOM Tables</vt:lpstr>
      <vt:lpstr>STD Vals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Muckenhirn</dc:creator>
  <cp:lastModifiedBy>Muckenhirn, Ariel</cp:lastModifiedBy>
  <dcterms:created xsi:type="dcterms:W3CDTF">2018-12-03T22:43:22Z</dcterms:created>
  <dcterms:modified xsi:type="dcterms:W3CDTF">2025-05-29T16:43:00Z</dcterms:modified>
</cp:coreProperties>
</file>