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amuckenhirn\Documents\_Help Center\_ARTICLES\RTD Error Budget\"/>
    </mc:Choice>
  </mc:AlternateContent>
  <xr:revisionPtr revIDLastSave="0" documentId="13_ncr:1_{4BC9710F-D174-45D5-BA4C-4BFA6DFDBD35}" xr6:coauthVersionLast="47" xr6:coauthVersionMax="47" xr10:uidLastSave="{00000000-0000-0000-0000-000000000000}"/>
  <bookViews>
    <workbookView xWindow="-108" yWindow="-108" windowWidth="23256" windowHeight="12576" tabRatio="841" xr2:uid="{B3D86314-A8EF-4C8B-8FDC-5B2C2A9BF11B}"/>
  </bookViews>
  <sheets>
    <sheet name="RTD Data" sheetId="1" r:id="rId1"/>
    <sheet name="RTD Resistance @ Temperature" sheetId="3" r:id="rId2"/>
    <sheet name="PT100 Tables" sheetId="7" r:id="rId3"/>
    <sheet name="PT500 Tables" sheetId="9" r:id="rId4"/>
    <sheet name="PT1000 Tables" sheetId="10" r:id="rId5"/>
    <sheet name="PT-CUSTOM Tables" sheetId="11" r:id="rId6"/>
    <sheet name="STD Vals" sheetId="5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Q2" i="3" l="1"/>
  <c r="D6" i="11"/>
  <c r="D4" i="11"/>
  <c r="J2" i="11"/>
  <c r="J3" i="1"/>
  <c r="J2" i="7"/>
  <c r="J2" i="9"/>
  <c r="J2" i="10"/>
  <c r="B14" i="10"/>
  <c r="B15" i="10"/>
  <c r="B18" i="10"/>
  <c r="B30" i="10"/>
  <c r="B39" i="10"/>
  <c r="B42" i="10"/>
  <c r="B63" i="10"/>
  <c r="B13" i="9"/>
  <c r="B34" i="9"/>
  <c r="B58" i="9"/>
  <c r="B61" i="9"/>
  <c r="L4" i="3"/>
  <c r="B13" i="10" s="1"/>
  <c r="L5" i="3"/>
  <c r="L6" i="3"/>
  <c r="L7" i="3"/>
  <c r="B16" i="10" s="1"/>
  <c r="L8" i="3"/>
  <c r="B17" i="10" s="1"/>
  <c r="L9" i="3"/>
  <c r="L10" i="3"/>
  <c r="B19" i="10" s="1"/>
  <c r="L11" i="3"/>
  <c r="B20" i="10" s="1"/>
  <c r="L12" i="3"/>
  <c r="B21" i="10" s="1"/>
  <c r="L13" i="3"/>
  <c r="B22" i="10" s="1"/>
  <c r="L14" i="3"/>
  <c r="B23" i="10" s="1"/>
  <c r="L15" i="3"/>
  <c r="B24" i="10" s="1"/>
  <c r="L16" i="3"/>
  <c r="B25" i="10" s="1"/>
  <c r="L17" i="3"/>
  <c r="B26" i="10" s="1"/>
  <c r="L18" i="3"/>
  <c r="B27" i="10" s="1"/>
  <c r="L19" i="3"/>
  <c r="B28" i="10" s="1"/>
  <c r="L20" i="3"/>
  <c r="B29" i="10" s="1"/>
  <c r="L21" i="3"/>
  <c r="L22" i="3"/>
  <c r="B31" i="10" s="1"/>
  <c r="L24" i="3"/>
  <c r="B33" i="10" s="1"/>
  <c r="L25" i="3"/>
  <c r="B34" i="10" s="1"/>
  <c r="L26" i="3"/>
  <c r="B35" i="10" s="1"/>
  <c r="L27" i="3"/>
  <c r="B36" i="10" s="1"/>
  <c r="L28" i="3"/>
  <c r="B37" i="10" s="1"/>
  <c r="L29" i="3"/>
  <c r="B38" i="10" s="1"/>
  <c r="L30" i="3"/>
  <c r="L31" i="3"/>
  <c r="B40" i="10" s="1"/>
  <c r="L32" i="3"/>
  <c r="B41" i="10" s="1"/>
  <c r="L33" i="3"/>
  <c r="L34" i="3"/>
  <c r="B43" i="10" s="1"/>
  <c r="L35" i="3"/>
  <c r="B44" i="10" s="1"/>
  <c r="L36" i="3"/>
  <c r="B45" i="10" s="1"/>
  <c r="L37" i="3"/>
  <c r="B46" i="10" s="1"/>
  <c r="L38" i="3"/>
  <c r="B47" i="10" s="1"/>
  <c r="L39" i="3"/>
  <c r="B48" i="10" s="1"/>
  <c r="L40" i="3"/>
  <c r="B49" i="10" s="1"/>
  <c r="L41" i="3"/>
  <c r="B50" i="10" s="1"/>
  <c r="L42" i="3"/>
  <c r="B51" i="10" s="1"/>
  <c r="L43" i="3"/>
  <c r="B52" i="10" s="1"/>
  <c r="L44" i="3"/>
  <c r="B53" i="10" s="1"/>
  <c r="L45" i="3"/>
  <c r="B54" i="10" s="1"/>
  <c r="L46" i="3"/>
  <c r="B55" i="10" s="1"/>
  <c r="L47" i="3"/>
  <c r="B56" i="10" s="1"/>
  <c r="L48" i="3"/>
  <c r="B57" i="10" s="1"/>
  <c r="L49" i="3"/>
  <c r="B58" i="10" s="1"/>
  <c r="L50" i="3"/>
  <c r="B59" i="10" s="1"/>
  <c r="L51" i="3"/>
  <c r="B60" i="10" s="1"/>
  <c r="L52" i="3"/>
  <c r="B61" i="10" s="1"/>
  <c r="L53" i="3"/>
  <c r="B62" i="10" s="1"/>
  <c r="L54" i="3"/>
  <c r="L55" i="3"/>
  <c r="B64" i="10" s="1"/>
  <c r="L3" i="3"/>
  <c r="B12" i="10" s="1"/>
  <c r="G4" i="3"/>
  <c r="G5" i="3"/>
  <c r="B14" i="9" s="1"/>
  <c r="G6" i="3"/>
  <c r="B15" i="9" s="1"/>
  <c r="G7" i="3"/>
  <c r="B16" i="9" s="1"/>
  <c r="G8" i="3"/>
  <c r="B17" i="9" s="1"/>
  <c r="G9" i="3"/>
  <c r="B18" i="9" s="1"/>
  <c r="G10" i="3"/>
  <c r="B19" i="9" s="1"/>
  <c r="G11" i="3"/>
  <c r="B20" i="9" s="1"/>
  <c r="G12" i="3"/>
  <c r="B21" i="9" s="1"/>
  <c r="G13" i="3"/>
  <c r="B22" i="9" s="1"/>
  <c r="G14" i="3"/>
  <c r="B23" i="9" s="1"/>
  <c r="G15" i="3"/>
  <c r="B24" i="9" s="1"/>
  <c r="G16" i="3"/>
  <c r="B25" i="9" s="1"/>
  <c r="G17" i="3"/>
  <c r="B26" i="9" s="1"/>
  <c r="G18" i="3"/>
  <c r="B27" i="9" s="1"/>
  <c r="G19" i="3"/>
  <c r="B28" i="9" s="1"/>
  <c r="G20" i="3"/>
  <c r="B29" i="9" s="1"/>
  <c r="G21" i="3"/>
  <c r="B30" i="9" s="1"/>
  <c r="G22" i="3"/>
  <c r="B31" i="9" s="1"/>
  <c r="G24" i="3"/>
  <c r="B33" i="9" s="1"/>
  <c r="G25" i="3"/>
  <c r="G26" i="3"/>
  <c r="B35" i="9" s="1"/>
  <c r="G27" i="3"/>
  <c r="B36" i="9" s="1"/>
  <c r="G28" i="3"/>
  <c r="B37" i="9" s="1"/>
  <c r="G29" i="3"/>
  <c r="B38" i="9" s="1"/>
  <c r="G30" i="3"/>
  <c r="B39" i="9" s="1"/>
  <c r="G31" i="3"/>
  <c r="B40" i="9" s="1"/>
  <c r="G32" i="3"/>
  <c r="B41" i="9" s="1"/>
  <c r="G33" i="3"/>
  <c r="B42" i="9" s="1"/>
  <c r="G34" i="3"/>
  <c r="B43" i="9" s="1"/>
  <c r="G35" i="3"/>
  <c r="B44" i="9" s="1"/>
  <c r="G36" i="3"/>
  <c r="B45" i="9" s="1"/>
  <c r="G37" i="3"/>
  <c r="B46" i="9" s="1"/>
  <c r="G38" i="3"/>
  <c r="B47" i="9" s="1"/>
  <c r="G39" i="3"/>
  <c r="B48" i="9" s="1"/>
  <c r="G40" i="3"/>
  <c r="B49" i="9" s="1"/>
  <c r="G41" i="3"/>
  <c r="B50" i="9" s="1"/>
  <c r="G42" i="3"/>
  <c r="B51" i="9" s="1"/>
  <c r="G43" i="3"/>
  <c r="B52" i="9" s="1"/>
  <c r="G44" i="3"/>
  <c r="B53" i="9" s="1"/>
  <c r="G45" i="3"/>
  <c r="B54" i="9" s="1"/>
  <c r="G46" i="3"/>
  <c r="B55" i="9" s="1"/>
  <c r="G47" i="3"/>
  <c r="B56" i="9" s="1"/>
  <c r="G48" i="3"/>
  <c r="B57" i="9" s="1"/>
  <c r="G49" i="3"/>
  <c r="G50" i="3"/>
  <c r="B59" i="9" s="1"/>
  <c r="G51" i="3"/>
  <c r="B60" i="9" s="1"/>
  <c r="G52" i="3"/>
  <c r="G53" i="3"/>
  <c r="B62" i="9" s="1"/>
  <c r="G54" i="3"/>
  <c r="B63" i="9" s="1"/>
  <c r="G55" i="3"/>
  <c r="B64" i="9" s="1"/>
  <c r="G3" i="3"/>
  <c r="B12" i="9" s="1"/>
  <c r="D6" i="10"/>
  <c r="D4" i="10"/>
  <c r="J3" i="10" s="1"/>
  <c r="J5" i="10" s="1"/>
  <c r="J6" i="10" s="1"/>
  <c r="J7" i="10" s="1"/>
  <c r="D6" i="9"/>
  <c r="D4" i="9"/>
  <c r="J3" i="9" s="1"/>
  <c r="J5" i="9" s="1"/>
  <c r="J6" i="9" s="1"/>
  <c r="J7" i="9" s="1"/>
  <c r="Q5" i="3" l="1"/>
  <c r="B14" i="11" s="1"/>
  <c r="Q9" i="3"/>
  <c r="B18" i="11" s="1"/>
  <c r="Q13" i="3"/>
  <c r="B22" i="11" s="1"/>
  <c r="Q17" i="3"/>
  <c r="B26" i="11" s="1"/>
  <c r="Q21" i="3"/>
  <c r="B30" i="11" s="1"/>
  <c r="Q25" i="3"/>
  <c r="B34" i="11" s="1"/>
  <c r="Q29" i="3"/>
  <c r="B38" i="11" s="1"/>
  <c r="Q33" i="3"/>
  <c r="B42" i="11" s="1"/>
  <c r="Q37" i="3"/>
  <c r="B46" i="11" s="1"/>
  <c r="Q41" i="3"/>
  <c r="B50" i="11" s="1"/>
  <c r="Q45" i="3"/>
  <c r="B54" i="11" s="1"/>
  <c r="Q49" i="3"/>
  <c r="B58" i="11" s="1"/>
  <c r="Q53" i="3"/>
  <c r="B62" i="11" s="1"/>
  <c r="Q8" i="3"/>
  <c r="B17" i="11" s="1"/>
  <c r="Q16" i="3"/>
  <c r="B25" i="11" s="1"/>
  <c r="Q28" i="3"/>
  <c r="B37" i="11" s="1"/>
  <c r="Q40" i="3"/>
  <c r="B49" i="11" s="1"/>
  <c r="Q52" i="3"/>
  <c r="B61" i="11" s="1"/>
  <c r="Q6" i="3"/>
  <c r="B15" i="11" s="1"/>
  <c r="Q10" i="3"/>
  <c r="B19" i="11" s="1"/>
  <c r="Q14" i="3"/>
  <c r="B23" i="11" s="1"/>
  <c r="Q18" i="3"/>
  <c r="B27" i="11" s="1"/>
  <c r="Q22" i="3"/>
  <c r="B31" i="11" s="1"/>
  <c r="Q26" i="3"/>
  <c r="B35" i="11" s="1"/>
  <c r="Q30" i="3"/>
  <c r="B39" i="11" s="1"/>
  <c r="Q34" i="3"/>
  <c r="B43" i="11" s="1"/>
  <c r="Q38" i="3"/>
  <c r="B47" i="11" s="1"/>
  <c r="Q42" i="3"/>
  <c r="B51" i="11" s="1"/>
  <c r="Q46" i="3"/>
  <c r="B55" i="11" s="1"/>
  <c r="Q50" i="3"/>
  <c r="B59" i="11" s="1"/>
  <c r="Q54" i="3"/>
  <c r="B63" i="11" s="1"/>
  <c r="Q4" i="3"/>
  <c r="B13" i="11" s="1"/>
  <c r="Q20" i="3"/>
  <c r="B29" i="11" s="1"/>
  <c r="Q32" i="3"/>
  <c r="B41" i="11" s="1"/>
  <c r="Q44" i="3"/>
  <c r="B53" i="11" s="1"/>
  <c r="Q3" i="3"/>
  <c r="B12" i="11" s="1"/>
  <c r="Q7" i="3"/>
  <c r="B16" i="11" s="1"/>
  <c r="Q11" i="3"/>
  <c r="B20" i="11" s="1"/>
  <c r="Q15" i="3"/>
  <c r="B24" i="11" s="1"/>
  <c r="Q19" i="3"/>
  <c r="B28" i="11" s="1"/>
  <c r="Q27" i="3"/>
  <c r="B36" i="11" s="1"/>
  <c r="Q31" i="3"/>
  <c r="B40" i="11" s="1"/>
  <c r="Q35" i="3"/>
  <c r="B44" i="11" s="1"/>
  <c r="Q39" i="3"/>
  <c r="B48" i="11" s="1"/>
  <c r="Q43" i="3"/>
  <c r="B52" i="11" s="1"/>
  <c r="Q47" i="3"/>
  <c r="B56" i="11" s="1"/>
  <c r="Q51" i="3"/>
  <c r="B60" i="11" s="1"/>
  <c r="Q55" i="3"/>
  <c r="B64" i="11" s="1"/>
  <c r="Q12" i="3"/>
  <c r="B21" i="11" s="1"/>
  <c r="Q24" i="3"/>
  <c r="B33" i="11" s="1"/>
  <c r="Q36" i="3"/>
  <c r="B45" i="11" s="1"/>
  <c r="Q48" i="3"/>
  <c r="B57" i="11" s="1"/>
  <c r="J3" i="11"/>
  <c r="J5" i="11" s="1"/>
  <c r="J6" i="11" s="1"/>
  <c r="J7" i="11" s="1"/>
  <c r="S12" i="1"/>
  <c r="R16" i="1" s="1"/>
  <c r="S10" i="1"/>
  <c r="S11" i="1" s="1"/>
  <c r="N12" i="1"/>
  <c r="M16" i="1" s="1"/>
  <c r="N10" i="1"/>
  <c r="R15" i="1" l="1"/>
  <c r="R14" i="1"/>
  <c r="M14" i="1"/>
  <c r="N11" i="1"/>
  <c r="S4" i="1"/>
  <c r="D6" i="7"/>
  <c r="D4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12" i="7"/>
  <c r="M15" i="1" l="1"/>
  <c r="M5" i="11"/>
  <c r="M5" i="10"/>
  <c r="M5" i="9"/>
  <c r="M5" i="7"/>
  <c r="J3" i="7"/>
  <c r="J5" i="7" s="1"/>
  <c r="J6" i="7" s="1"/>
  <c r="J7" i="7" s="1"/>
  <c r="B7" i="1" s="1"/>
  <c r="L23" i="3" l="1"/>
  <c r="B32" i="10" s="1"/>
  <c r="G23" i="3"/>
  <c r="B32" i="9" s="1"/>
  <c r="Q23" i="3"/>
  <c r="B32" i="11" s="1"/>
  <c r="B32" i="7"/>
  <c r="F8" i="1"/>
  <c r="D5" i="11" s="1"/>
  <c r="C8" i="1"/>
  <c r="H4" i="1"/>
  <c r="S8" i="1" l="1"/>
  <c r="N8" i="1"/>
  <c r="C24" i="11"/>
  <c r="D24" i="11" s="1"/>
  <c r="E24" i="11" s="1"/>
  <c r="C63" i="11"/>
  <c r="D63" i="11" s="1"/>
  <c r="E63" i="11" s="1"/>
  <c r="C56" i="11"/>
  <c r="D56" i="11" s="1"/>
  <c r="E56" i="11" s="1"/>
  <c r="C52" i="11"/>
  <c r="D52" i="11" s="1"/>
  <c r="E52" i="11" s="1"/>
  <c r="C46" i="11"/>
  <c r="D46" i="11" s="1"/>
  <c r="E46" i="11" s="1"/>
  <c r="C33" i="11"/>
  <c r="D33" i="11" s="1"/>
  <c r="E33" i="11" s="1"/>
  <c r="C31" i="11"/>
  <c r="D31" i="11" s="1"/>
  <c r="E31" i="11" s="1"/>
  <c r="C40" i="11"/>
  <c r="D40" i="11" s="1"/>
  <c r="E40" i="11" s="1"/>
  <c r="C18" i="11"/>
  <c r="D18" i="11" s="1"/>
  <c r="E18" i="11" s="1"/>
  <c r="C47" i="11"/>
  <c r="D47" i="11" s="1"/>
  <c r="E47" i="11" s="1"/>
  <c r="C38" i="11"/>
  <c r="D38" i="11" s="1"/>
  <c r="E38" i="11" s="1"/>
  <c r="C30" i="11"/>
  <c r="D30" i="11" s="1"/>
  <c r="E30" i="11" s="1"/>
  <c r="C62" i="11"/>
  <c r="D62" i="11" s="1"/>
  <c r="E62" i="11" s="1"/>
  <c r="C55" i="11"/>
  <c r="D55" i="11" s="1"/>
  <c r="E55" i="11" s="1"/>
  <c r="C50" i="11"/>
  <c r="D50" i="11" s="1"/>
  <c r="E50" i="11" s="1"/>
  <c r="C43" i="11"/>
  <c r="D43" i="11" s="1"/>
  <c r="E43" i="11" s="1"/>
  <c r="C23" i="11"/>
  <c r="D23" i="11" s="1"/>
  <c r="E23" i="11" s="1"/>
  <c r="C34" i="11"/>
  <c r="D34" i="11" s="1"/>
  <c r="E34" i="11" s="1"/>
  <c r="C32" i="11"/>
  <c r="D32" i="11" s="1"/>
  <c r="E32" i="11" s="1"/>
  <c r="C61" i="11"/>
  <c r="D61" i="11" s="1"/>
  <c r="E61" i="11" s="1"/>
  <c r="C54" i="11"/>
  <c r="D54" i="11" s="1"/>
  <c r="E54" i="11" s="1"/>
  <c r="C49" i="11"/>
  <c r="D49" i="11" s="1"/>
  <c r="E49" i="11" s="1"/>
  <c r="C39" i="11"/>
  <c r="D39" i="11" s="1"/>
  <c r="E39" i="11" s="1"/>
  <c r="C25" i="11"/>
  <c r="D25" i="11" s="1"/>
  <c r="E25" i="11" s="1"/>
  <c r="C64" i="11"/>
  <c r="D64" i="11" s="1"/>
  <c r="E64" i="11" s="1"/>
  <c r="C53" i="11"/>
  <c r="D53" i="11" s="1"/>
  <c r="E53" i="11" s="1"/>
  <c r="C27" i="11"/>
  <c r="D27" i="11" s="1"/>
  <c r="E27" i="11" s="1"/>
  <c r="C17" i="11"/>
  <c r="D17" i="11" s="1"/>
  <c r="E17" i="11" s="1"/>
  <c r="C59" i="11"/>
  <c r="D59" i="11" s="1"/>
  <c r="E59" i="11" s="1"/>
  <c r="C22" i="11"/>
  <c r="D22" i="11" s="1"/>
  <c r="E22" i="11" s="1"/>
  <c r="C60" i="11"/>
  <c r="D60" i="11" s="1"/>
  <c r="E60" i="11" s="1"/>
  <c r="C35" i="11"/>
  <c r="D35" i="11" s="1"/>
  <c r="E35" i="11" s="1"/>
  <c r="C42" i="11"/>
  <c r="D42" i="11" s="1"/>
  <c r="E42" i="11" s="1"/>
  <c r="C21" i="11"/>
  <c r="D21" i="11" s="1"/>
  <c r="E21" i="11" s="1"/>
  <c r="C45" i="11"/>
  <c r="D45" i="11" s="1"/>
  <c r="E45" i="11" s="1"/>
  <c r="C29" i="11"/>
  <c r="D29" i="11" s="1"/>
  <c r="E29" i="11" s="1"/>
  <c r="C28" i="11"/>
  <c r="D28" i="11" s="1"/>
  <c r="E28" i="11" s="1"/>
  <c r="C19" i="11"/>
  <c r="D19" i="11" s="1"/>
  <c r="E19" i="11" s="1"/>
  <c r="C26" i="11"/>
  <c r="D26" i="11" s="1"/>
  <c r="E26" i="11" s="1"/>
  <c r="C36" i="11"/>
  <c r="D36" i="11" s="1"/>
  <c r="E36" i="11" s="1"/>
  <c r="C57" i="11"/>
  <c r="D57" i="11" s="1"/>
  <c r="E57" i="11" s="1"/>
  <c r="C14" i="11"/>
  <c r="D14" i="11" s="1"/>
  <c r="E14" i="11" s="1"/>
  <c r="C13" i="11"/>
  <c r="D13" i="11" s="1"/>
  <c r="E13" i="11" s="1"/>
  <c r="C12" i="11"/>
  <c r="D12" i="11" s="1"/>
  <c r="E12" i="11" s="1"/>
  <c r="C37" i="11"/>
  <c r="D37" i="11" s="1"/>
  <c r="E37" i="11" s="1"/>
  <c r="C15" i="11"/>
  <c r="D15" i="11" s="1"/>
  <c r="E15" i="11" s="1"/>
  <c r="C20" i="11"/>
  <c r="D20" i="11" s="1"/>
  <c r="E20" i="11" s="1"/>
  <c r="C48" i="11"/>
  <c r="D48" i="11" s="1"/>
  <c r="E48" i="11" s="1"/>
  <c r="C51" i="11"/>
  <c r="D51" i="11" s="1"/>
  <c r="E51" i="11" s="1"/>
  <c r="C58" i="11"/>
  <c r="D58" i="11" s="1"/>
  <c r="E58" i="11" s="1"/>
  <c r="C44" i="11"/>
  <c r="D44" i="11" s="1"/>
  <c r="E44" i="11" s="1"/>
  <c r="C41" i="11"/>
  <c r="D41" i="11" s="1"/>
  <c r="E41" i="11" s="1"/>
  <c r="C16" i="11"/>
  <c r="D16" i="11" s="1"/>
  <c r="E16" i="11" s="1"/>
  <c r="D5" i="10"/>
  <c r="D5" i="9"/>
  <c r="D5" i="7"/>
  <c r="C34" i="7" s="1"/>
  <c r="B8" i="1"/>
  <c r="J47" i="11" l="1"/>
  <c r="G48" i="11"/>
  <c r="F48" i="11"/>
  <c r="H48" i="11" s="1"/>
  <c r="G12" i="11"/>
  <c r="J35" i="11"/>
  <c r="G36" i="11"/>
  <c r="F36" i="11"/>
  <c r="H36" i="11" s="1"/>
  <c r="F29" i="11"/>
  <c r="H29" i="11" s="1"/>
  <c r="J28" i="11"/>
  <c r="G29" i="11"/>
  <c r="F35" i="11"/>
  <c r="H35" i="11" s="1"/>
  <c r="J34" i="11"/>
  <c r="M4" i="11" s="1"/>
  <c r="G35" i="11"/>
  <c r="G17" i="11"/>
  <c r="J16" i="11"/>
  <c r="F17" i="11"/>
  <c r="H17" i="11" s="1"/>
  <c r="G25" i="11"/>
  <c r="F25" i="11"/>
  <c r="H25" i="11" s="1"/>
  <c r="J24" i="11"/>
  <c r="F61" i="11"/>
  <c r="H61" i="11" s="1"/>
  <c r="J60" i="11"/>
  <c r="G61" i="11"/>
  <c r="F43" i="11"/>
  <c r="H43" i="11" s="1"/>
  <c r="G43" i="11"/>
  <c r="J42" i="11"/>
  <c r="J29" i="11"/>
  <c r="G30" i="11"/>
  <c r="F30" i="11"/>
  <c r="H30" i="11" s="1"/>
  <c r="J39" i="11"/>
  <c r="G40" i="11"/>
  <c r="F40" i="11"/>
  <c r="H40" i="11" s="1"/>
  <c r="F52" i="11"/>
  <c r="H52" i="11" s="1"/>
  <c r="J51" i="11"/>
  <c r="G52" i="11"/>
  <c r="J43" i="11"/>
  <c r="G44" i="11"/>
  <c r="F44" i="11"/>
  <c r="H44" i="11" s="1"/>
  <c r="F20" i="11"/>
  <c r="H20" i="11" s="1"/>
  <c r="J19" i="11"/>
  <c r="G20" i="11"/>
  <c r="F13" i="11"/>
  <c r="H13" i="11" s="1"/>
  <c r="G13" i="11"/>
  <c r="F12" i="11"/>
  <c r="H12" i="11" s="1"/>
  <c r="J12" i="11"/>
  <c r="J25" i="11"/>
  <c r="G26" i="11"/>
  <c r="F26" i="11"/>
  <c r="H26" i="11" s="1"/>
  <c r="J44" i="11"/>
  <c r="G45" i="11"/>
  <c r="F45" i="11"/>
  <c r="H45" i="11" s="1"/>
  <c r="J59" i="11"/>
  <c r="G60" i="11"/>
  <c r="F60" i="11"/>
  <c r="H60" i="11" s="1"/>
  <c r="J26" i="11"/>
  <c r="G27" i="11"/>
  <c r="F27" i="11"/>
  <c r="H27" i="11" s="1"/>
  <c r="J38" i="11"/>
  <c r="F39" i="11"/>
  <c r="H39" i="11" s="1"/>
  <c r="G39" i="11"/>
  <c r="F32" i="11"/>
  <c r="H32" i="11" s="1"/>
  <c r="J31" i="11"/>
  <c r="G32" i="11"/>
  <c r="M2" i="11"/>
  <c r="J49" i="11"/>
  <c r="G50" i="11"/>
  <c r="F50" i="11"/>
  <c r="H50" i="11" s="1"/>
  <c r="F38" i="11"/>
  <c r="H38" i="11" s="1"/>
  <c r="J37" i="11"/>
  <c r="G38" i="11"/>
  <c r="F31" i="11"/>
  <c r="H31" i="11" s="1"/>
  <c r="J30" i="11"/>
  <c r="G31" i="11"/>
  <c r="F56" i="11"/>
  <c r="H56" i="11" s="1"/>
  <c r="J55" i="11"/>
  <c r="G56" i="11"/>
  <c r="J57" i="11"/>
  <c r="G58" i="11"/>
  <c r="F58" i="11"/>
  <c r="H58" i="11" s="1"/>
  <c r="F15" i="11"/>
  <c r="H15" i="11" s="1"/>
  <c r="G14" i="11"/>
  <c r="J13" i="11"/>
  <c r="F14" i="11"/>
  <c r="H14" i="11" s="1"/>
  <c r="G21" i="11"/>
  <c r="F21" i="11"/>
  <c r="H21" i="11" s="1"/>
  <c r="J20" i="11"/>
  <c r="J52" i="11"/>
  <c r="G53" i="11"/>
  <c r="F53" i="11"/>
  <c r="H53" i="11" s="1"/>
  <c r="J48" i="11"/>
  <c r="G49" i="11"/>
  <c r="F49" i="11"/>
  <c r="H49" i="11" s="1"/>
  <c r="M6" i="11"/>
  <c r="F34" i="11"/>
  <c r="H34" i="11" s="1"/>
  <c r="M3" i="11"/>
  <c r="J33" i="11"/>
  <c r="G34" i="11"/>
  <c r="F55" i="11"/>
  <c r="H55" i="11" s="1"/>
  <c r="J54" i="11"/>
  <c r="G55" i="11"/>
  <c r="F47" i="11"/>
  <c r="H47" i="11" s="1"/>
  <c r="J46" i="11"/>
  <c r="G47" i="11"/>
  <c r="J32" i="11"/>
  <c r="F33" i="11"/>
  <c r="H33" i="11" s="1"/>
  <c r="G33" i="11"/>
  <c r="G63" i="11"/>
  <c r="F63" i="11"/>
  <c r="H63" i="11" s="1"/>
  <c r="J62" i="11"/>
  <c r="F41" i="11"/>
  <c r="H41" i="11" s="1"/>
  <c r="J40" i="11"/>
  <c r="G41" i="11"/>
  <c r="G15" i="11"/>
  <c r="J14" i="11"/>
  <c r="G19" i="11"/>
  <c r="F19" i="11"/>
  <c r="H19" i="11" s="1"/>
  <c r="J18" i="11"/>
  <c r="J21" i="11"/>
  <c r="G22" i="11"/>
  <c r="F22" i="11"/>
  <c r="H22" i="11" s="1"/>
  <c r="F16" i="11"/>
  <c r="H16" i="11" s="1"/>
  <c r="G16" i="11"/>
  <c r="J15" i="11"/>
  <c r="J50" i="11"/>
  <c r="G51" i="11"/>
  <c r="F51" i="11"/>
  <c r="H51" i="11" s="1"/>
  <c r="G37" i="11"/>
  <c r="F37" i="11"/>
  <c r="H37" i="11" s="1"/>
  <c r="J36" i="11"/>
  <c r="G57" i="11"/>
  <c r="F57" i="11"/>
  <c r="H57" i="11" s="1"/>
  <c r="J56" i="11"/>
  <c r="F28" i="11"/>
  <c r="H28" i="11" s="1"/>
  <c r="J27" i="11"/>
  <c r="G28" i="11"/>
  <c r="J41" i="11"/>
  <c r="G42" i="11"/>
  <c r="F42" i="11"/>
  <c r="H42" i="11" s="1"/>
  <c r="G59" i="11"/>
  <c r="F59" i="11"/>
  <c r="H59" i="11" s="1"/>
  <c r="J58" i="11"/>
  <c r="J64" i="11"/>
  <c r="F64" i="11"/>
  <c r="H64" i="11" s="1"/>
  <c r="J63" i="11"/>
  <c r="G64" i="11"/>
  <c r="J53" i="11"/>
  <c r="G54" i="11"/>
  <c r="F54" i="11"/>
  <c r="H54" i="11" s="1"/>
  <c r="J22" i="11"/>
  <c r="G23" i="11"/>
  <c r="F23" i="11"/>
  <c r="H23" i="11" s="1"/>
  <c r="F62" i="11"/>
  <c r="H62" i="11" s="1"/>
  <c r="J61" i="11"/>
  <c r="G62" i="11"/>
  <c r="F18" i="11"/>
  <c r="H18" i="11" s="1"/>
  <c r="J17" i="11"/>
  <c r="G18" i="11"/>
  <c r="J45" i="11"/>
  <c r="G46" i="11"/>
  <c r="F46" i="11"/>
  <c r="H46" i="11" s="1"/>
  <c r="G24" i="11"/>
  <c r="F24" i="11"/>
  <c r="H24" i="11" s="1"/>
  <c r="J23" i="11"/>
  <c r="C17" i="9"/>
  <c r="D17" i="9" s="1"/>
  <c r="E17" i="9" s="1"/>
  <c r="C63" i="9"/>
  <c r="D63" i="9" s="1"/>
  <c r="E63" i="9" s="1"/>
  <c r="C23" i="9"/>
  <c r="D23" i="9" s="1"/>
  <c r="E23" i="9" s="1"/>
  <c r="C31" i="9"/>
  <c r="D31" i="9" s="1"/>
  <c r="E31" i="9" s="1"/>
  <c r="C39" i="9"/>
  <c r="D39" i="9" s="1"/>
  <c r="E39" i="9" s="1"/>
  <c r="C55" i="9"/>
  <c r="D55" i="9" s="1"/>
  <c r="E55" i="9" s="1"/>
  <c r="C59" i="9"/>
  <c r="D59" i="9" s="1"/>
  <c r="E59" i="9" s="1"/>
  <c r="C62" i="9"/>
  <c r="D62" i="9" s="1"/>
  <c r="E62" i="9" s="1"/>
  <c r="C54" i="9"/>
  <c r="D54" i="9" s="1"/>
  <c r="E54" i="9" s="1"/>
  <c r="C46" i="9"/>
  <c r="D46" i="9" s="1"/>
  <c r="E46" i="9" s="1"/>
  <c r="C38" i="9"/>
  <c r="D38" i="9" s="1"/>
  <c r="E38" i="9" s="1"/>
  <c r="C33" i="9"/>
  <c r="D33" i="9" s="1"/>
  <c r="E33" i="9" s="1"/>
  <c r="C18" i="9"/>
  <c r="D18" i="9" s="1"/>
  <c r="E18" i="9" s="1"/>
  <c r="C26" i="9"/>
  <c r="D26" i="9" s="1"/>
  <c r="E26" i="9" s="1"/>
  <c r="C37" i="9"/>
  <c r="D37" i="9" s="1"/>
  <c r="E37" i="9" s="1"/>
  <c r="C61" i="9"/>
  <c r="D61" i="9" s="1"/>
  <c r="E61" i="9" s="1"/>
  <c r="C29" i="9"/>
  <c r="D29" i="9" s="1"/>
  <c r="E29" i="9" s="1"/>
  <c r="C57" i="9"/>
  <c r="D57" i="9" s="1"/>
  <c r="E57" i="9" s="1"/>
  <c r="C64" i="9"/>
  <c r="D64" i="9" s="1"/>
  <c r="E64" i="9" s="1"/>
  <c r="C40" i="9"/>
  <c r="D40" i="9" s="1"/>
  <c r="E40" i="9" s="1"/>
  <c r="C16" i="9"/>
  <c r="D16" i="9" s="1"/>
  <c r="E16" i="9" s="1"/>
  <c r="C53" i="9"/>
  <c r="D53" i="9" s="1"/>
  <c r="E53" i="9" s="1"/>
  <c r="C13" i="9"/>
  <c r="D13" i="9" s="1"/>
  <c r="E13" i="9" s="1"/>
  <c r="C25" i="9"/>
  <c r="D25" i="9" s="1"/>
  <c r="E25" i="9" s="1"/>
  <c r="C41" i="9"/>
  <c r="D41" i="9" s="1"/>
  <c r="E41" i="9" s="1"/>
  <c r="C14" i="9"/>
  <c r="D14" i="9" s="1"/>
  <c r="E14" i="9" s="1"/>
  <c r="C60" i="9"/>
  <c r="D60" i="9" s="1"/>
  <c r="E60" i="9" s="1"/>
  <c r="C52" i="9"/>
  <c r="D52" i="9" s="1"/>
  <c r="E52" i="9" s="1"/>
  <c r="C44" i="9"/>
  <c r="D44" i="9" s="1"/>
  <c r="E44" i="9" s="1"/>
  <c r="C36" i="9"/>
  <c r="D36" i="9" s="1"/>
  <c r="E36" i="9" s="1"/>
  <c r="C20" i="9"/>
  <c r="D20" i="9" s="1"/>
  <c r="E20" i="9" s="1"/>
  <c r="C28" i="9"/>
  <c r="D28" i="9" s="1"/>
  <c r="E28" i="9" s="1"/>
  <c r="C45" i="9"/>
  <c r="D45" i="9" s="1"/>
  <c r="E45" i="9" s="1"/>
  <c r="C48" i="9"/>
  <c r="D48" i="9" s="1"/>
  <c r="E48" i="9" s="1"/>
  <c r="C24" i="9"/>
  <c r="D24" i="9" s="1"/>
  <c r="E24" i="9" s="1"/>
  <c r="C19" i="9"/>
  <c r="D19" i="9" s="1"/>
  <c r="E19" i="9" s="1"/>
  <c r="C27" i="9"/>
  <c r="D27" i="9" s="1"/>
  <c r="E27" i="9" s="1"/>
  <c r="C49" i="9"/>
  <c r="D49" i="9" s="1"/>
  <c r="E49" i="9" s="1"/>
  <c r="C47" i="9"/>
  <c r="D47" i="9" s="1"/>
  <c r="E47" i="9" s="1"/>
  <c r="C12" i="9"/>
  <c r="D12" i="9" s="1"/>
  <c r="E12" i="9" s="1"/>
  <c r="C43" i="9"/>
  <c r="D43" i="9" s="1"/>
  <c r="E43" i="9" s="1"/>
  <c r="C58" i="9"/>
  <c r="D58" i="9" s="1"/>
  <c r="E58" i="9" s="1"/>
  <c r="C50" i="9"/>
  <c r="D50" i="9" s="1"/>
  <c r="E50" i="9" s="1"/>
  <c r="C42" i="9"/>
  <c r="D42" i="9" s="1"/>
  <c r="E42" i="9" s="1"/>
  <c r="C35" i="9"/>
  <c r="D35" i="9" s="1"/>
  <c r="E35" i="9" s="1"/>
  <c r="C15" i="9"/>
  <c r="D15" i="9" s="1"/>
  <c r="E15" i="9" s="1"/>
  <c r="C22" i="9"/>
  <c r="D22" i="9" s="1"/>
  <c r="E22" i="9" s="1"/>
  <c r="C30" i="9"/>
  <c r="D30" i="9" s="1"/>
  <c r="E30" i="9" s="1"/>
  <c r="C21" i="9"/>
  <c r="D21" i="9" s="1"/>
  <c r="E21" i="9" s="1"/>
  <c r="C51" i="9"/>
  <c r="D51" i="9" s="1"/>
  <c r="E51" i="9" s="1"/>
  <c r="C56" i="9"/>
  <c r="D56" i="9" s="1"/>
  <c r="E56" i="9" s="1"/>
  <c r="C34" i="9"/>
  <c r="D34" i="9" s="1"/>
  <c r="E34" i="9" s="1"/>
  <c r="C32" i="9"/>
  <c r="D32" i="9" s="1"/>
  <c r="E32" i="9" s="1"/>
  <c r="C36" i="10"/>
  <c r="D36" i="10" s="1"/>
  <c r="E36" i="10" s="1"/>
  <c r="C13" i="10"/>
  <c r="D13" i="10" s="1"/>
  <c r="E13" i="10" s="1"/>
  <c r="C18" i="10"/>
  <c r="D18" i="10" s="1"/>
  <c r="E18" i="10" s="1"/>
  <c r="C64" i="10"/>
  <c r="D64" i="10" s="1"/>
  <c r="E64" i="10" s="1"/>
  <c r="C60" i="10"/>
  <c r="D60" i="10" s="1"/>
  <c r="E60" i="10" s="1"/>
  <c r="C56" i="10"/>
  <c r="D56" i="10" s="1"/>
  <c r="E56" i="10" s="1"/>
  <c r="C52" i="10"/>
  <c r="D52" i="10" s="1"/>
  <c r="E52" i="10" s="1"/>
  <c r="C48" i="10"/>
  <c r="D48" i="10" s="1"/>
  <c r="E48" i="10" s="1"/>
  <c r="C44" i="10"/>
  <c r="D44" i="10" s="1"/>
  <c r="E44" i="10" s="1"/>
  <c r="C40" i="10"/>
  <c r="D40" i="10" s="1"/>
  <c r="E40" i="10" s="1"/>
  <c r="C32" i="10"/>
  <c r="D32" i="10" s="1"/>
  <c r="E32" i="10" s="1"/>
  <c r="C28" i="10"/>
  <c r="D28" i="10" s="1"/>
  <c r="E28" i="10" s="1"/>
  <c r="C24" i="10"/>
  <c r="D24" i="10" s="1"/>
  <c r="E24" i="10" s="1"/>
  <c r="C12" i="10"/>
  <c r="D12" i="10" s="1"/>
  <c r="E12" i="10" s="1"/>
  <c r="C21" i="10"/>
  <c r="D21" i="10" s="1"/>
  <c r="E21" i="10" s="1"/>
  <c r="C57" i="10"/>
  <c r="D57" i="10" s="1"/>
  <c r="E57" i="10" s="1"/>
  <c r="C45" i="10"/>
  <c r="D45" i="10" s="1"/>
  <c r="E45" i="10" s="1"/>
  <c r="C37" i="10"/>
  <c r="D37" i="10" s="1"/>
  <c r="E37" i="10" s="1"/>
  <c r="C25" i="10"/>
  <c r="D25" i="10" s="1"/>
  <c r="E25" i="10" s="1"/>
  <c r="C22" i="10"/>
  <c r="D22" i="10" s="1"/>
  <c r="E22" i="10" s="1"/>
  <c r="C33" i="10"/>
  <c r="D33" i="10" s="1"/>
  <c r="E33" i="10" s="1"/>
  <c r="C14" i="10"/>
  <c r="D14" i="10" s="1"/>
  <c r="E14" i="10" s="1"/>
  <c r="C19" i="10"/>
  <c r="D19" i="10" s="1"/>
  <c r="E19" i="10" s="1"/>
  <c r="C63" i="10"/>
  <c r="D63" i="10" s="1"/>
  <c r="E63" i="10" s="1"/>
  <c r="C59" i="10"/>
  <c r="D59" i="10" s="1"/>
  <c r="E59" i="10" s="1"/>
  <c r="C55" i="10"/>
  <c r="D55" i="10" s="1"/>
  <c r="E55" i="10" s="1"/>
  <c r="C51" i="10"/>
  <c r="D51" i="10" s="1"/>
  <c r="E51" i="10" s="1"/>
  <c r="C47" i="10"/>
  <c r="D47" i="10" s="1"/>
  <c r="E47" i="10" s="1"/>
  <c r="C43" i="10"/>
  <c r="D43" i="10" s="1"/>
  <c r="E43" i="10" s="1"/>
  <c r="C39" i="10"/>
  <c r="D39" i="10" s="1"/>
  <c r="E39" i="10" s="1"/>
  <c r="C31" i="10"/>
  <c r="D31" i="10" s="1"/>
  <c r="E31" i="10" s="1"/>
  <c r="C27" i="10"/>
  <c r="D27" i="10" s="1"/>
  <c r="E27" i="10" s="1"/>
  <c r="C23" i="10"/>
  <c r="D23" i="10" s="1"/>
  <c r="E23" i="10" s="1"/>
  <c r="C16" i="10"/>
  <c r="D16" i="10" s="1"/>
  <c r="E16" i="10" s="1"/>
  <c r="C35" i="10"/>
  <c r="D35" i="10" s="1"/>
  <c r="E35" i="10" s="1"/>
  <c r="C17" i="10"/>
  <c r="D17" i="10" s="1"/>
  <c r="E17" i="10" s="1"/>
  <c r="C15" i="10"/>
  <c r="D15" i="10" s="1"/>
  <c r="E15" i="10" s="1"/>
  <c r="C20" i="10"/>
  <c r="D20" i="10" s="1"/>
  <c r="E20" i="10" s="1"/>
  <c r="C62" i="10"/>
  <c r="D62" i="10" s="1"/>
  <c r="E62" i="10" s="1"/>
  <c r="C58" i="10"/>
  <c r="D58" i="10" s="1"/>
  <c r="E58" i="10" s="1"/>
  <c r="C54" i="10"/>
  <c r="D54" i="10" s="1"/>
  <c r="E54" i="10" s="1"/>
  <c r="C50" i="10"/>
  <c r="D50" i="10" s="1"/>
  <c r="E50" i="10" s="1"/>
  <c r="C46" i="10"/>
  <c r="D46" i="10" s="1"/>
  <c r="E46" i="10" s="1"/>
  <c r="C42" i="10"/>
  <c r="D42" i="10" s="1"/>
  <c r="E42" i="10" s="1"/>
  <c r="C38" i="10"/>
  <c r="D38" i="10" s="1"/>
  <c r="E38" i="10" s="1"/>
  <c r="C30" i="10"/>
  <c r="D30" i="10" s="1"/>
  <c r="E30" i="10" s="1"/>
  <c r="C26" i="10"/>
  <c r="D26" i="10" s="1"/>
  <c r="E26" i="10" s="1"/>
  <c r="C34" i="10"/>
  <c r="D34" i="10" s="1"/>
  <c r="E34" i="10" s="1"/>
  <c r="C61" i="10"/>
  <c r="D61" i="10" s="1"/>
  <c r="E61" i="10" s="1"/>
  <c r="C53" i="10"/>
  <c r="D53" i="10" s="1"/>
  <c r="E53" i="10" s="1"/>
  <c r="C49" i="10"/>
  <c r="D49" i="10" s="1"/>
  <c r="E49" i="10" s="1"/>
  <c r="C41" i="10"/>
  <c r="D41" i="10" s="1"/>
  <c r="E41" i="10" s="1"/>
  <c r="C29" i="10"/>
  <c r="D29" i="10" s="1"/>
  <c r="E29" i="10" s="1"/>
  <c r="C61" i="7"/>
  <c r="D61" i="7" s="1"/>
  <c r="E61" i="7" s="1"/>
  <c r="C22" i="7"/>
  <c r="D22" i="7" s="1"/>
  <c r="E22" i="7" s="1"/>
  <c r="C38" i="7"/>
  <c r="D38" i="7" s="1"/>
  <c r="E38" i="7" s="1"/>
  <c r="C57" i="7"/>
  <c r="D57" i="7" s="1"/>
  <c r="E57" i="7" s="1"/>
  <c r="C21" i="7"/>
  <c r="D21" i="7" s="1"/>
  <c r="E21" i="7" s="1"/>
  <c r="C23" i="7"/>
  <c r="D23" i="7" s="1"/>
  <c r="E23" i="7" s="1"/>
  <c r="C39" i="7"/>
  <c r="D39" i="7" s="1"/>
  <c r="E39" i="7" s="1"/>
  <c r="C56" i="7"/>
  <c r="D56" i="7" s="1"/>
  <c r="E56" i="7" s="1"/>
  <c r="C14" i="7"/>
  <c r="D14" i="7" s="1"/>
  <c r="E14" i="7" s="1"/>
  <c r="C30" i="7"/>
  <c r="D30" i="7" s="1"/>
  <c r="E30" i="7" s="1"/>
  <c r="C46" i="7"/>
  <c r="D46" i="7" s="1"/>
  <c r="E46" i="7" s="1"/>
  <c r="C15" i="7"/>
  <c r="D15" i="7" s="1"/>
  <c r="E15" i="7" s="1"/>
  <c r="C47" i="7"/>
  <c r="D47" i="7" s="1"/>
  <c r="E47" i="7" s="1"/>
  <c r="C42" i="7"/>
  <c r="D42" i="7" s="1"/>
  <c r="E42" i="7" s="1"/>
  <c r="C40" i="7"/>
  <c r="D40" i="7" s="1"/>
  <c r="E40" i="7" s="1"/>
  <c r="C27" i="7"/>
  <c r="D27" i="7" s="1"/>
  <c r="E27" i="7" s="1"/>
  <c r="C43" i="7"/>
  <c r="D43" i="7" s="1"/>
  <c r="E43" i="7" s="1"/>
  <c r="C60" i="7"/>
  <c r="D60" i="7" s="1"/>
  <c r="E60" i="7" s="1"/>
  <c r="C13" i="7"/>
  <c r="D13" i="7" s="1"/>
  <c r="E13" i="7" s="1"/>
  <c r="C29" i="7"/>
  <c r="D29" i="7" s="1"/>
  <c r="E29" i="7" s="1"/>
  <c r="C45" i="7"/>
  <c r="D45" i="7" s="1"/>
  <c r="E45" i="7" s="1"/>
  <c r="C58" i="7"/>
  <c r="D58" i="7" s="1"/>
  <c r="E58" i="7" s="1"/>
  <c r="C19" i="7"/>
  <c r="D19" i="7" s="1"/>
  <c r="E19" i="7" s="1"/>
  <c r="C35" i="7"/>
  <c r="D35" i="7" s="1"/>
  <c r="E35" i="7" s="1"/>
  <c r="C52" i="7"/>
  <c r="D52" i="7" s="1"/>
  <c r="E52" i="7" s="1"/>
  <c r="C24" i="7"/>
  <c r="D24" i="7" s="1"/>
  <c r="E24" i="7" s="1"/>
  <c r="C37" i="7"/>
  <c r="D37" i="7" s="1"/>
  <c r="E37" i="7" s="1"/>
  <c r="C31" i="7"/>
  <c r="D31" i="7" s="1"/>
  <c r="E31" i="7" s="1"/>
  <c r="C17" i="7"/>
  <c r="D17" i="7" s="1"/>
  <c r="E17" i="7" s="1"/>
  <c r="C33" i="7"/>
  <c r="D33" i="7" s="1"/>
  <c r="E33" i="7" s="1"/>
  <c r="C49" i="7"/>
  <c r="D49" i="7" s="1"/>
  <c r="C62" i="7"/>
  <c r="D62" i="7" s="1"/>
  <c r="E62" i="7" s="1"/>
  <c r="C16" i="7"/>
  <c r="D16" i="7" s="1"/>
  <c r="E16" i="7" s="1"/>
  <c r="C32" i="7"/>
  <c r="D32" i="7" s="1"/>
  <c r="C48" i="7"/>
  <c r="D48" i="7" s="1"/>
  <c r="E48" i="7" s="1"/>
  <c r="C63" i="7"/>
  <c r="D63" i="7" s="1"/>
  <c r="E63" i="7" s="1"/>
  <c r="C25" i="7"/>
  <c r="D25" i="7" s="1"/>
  <c r="E25" i="7" s="1"/>
  <c r="C41" i="7"/>
  <c r="D41" i="7" s="1"/>
  <c r="E41" i="7" s="1"/>
  <c r="C54" i="7"/>
  <c r="D54" i="7" s="1"/>
  <c r="E54" i="7" s="1"/>
  <c r="C64" i="7"/>
  <c r="D64" i="7" s="1"/>
  <c r="E64" i="7" s="1"/>
  <c r="C20" i="7"/>
  <c r="D20" i="7" s="1"/>
  <c r="E20" i="7" s="1"/>
  <c r="C36" i="7"/>
  <c r="D36" i="7" s="1"/>
  <c r="E36" i="7" s="1"/>
  <c r="C51" i="7"/>
  <c r="D51" i="7" s="1"/>
  <c r="E51" i="7" s="1"/>
  <c r="C12" i="7"/>
  <c r="D12" i="7" s="1"/>
  <c r="E12" i="7" s="1"/>
  <c r="C18" i="7"/>
  <c r="D18" i="7" s="1"/>
  <c r="E18" i="7" s="1"/>
  <c r="D34" i="7"/>
  <c r="E34" i="7" s="1"/>
  <c r="C53" i="7"/>
  <c r="D53" i="7" s="1"/>
  <c r="E53" i="7" s="1"/>
  <c r="C26" i="7"/>
  <c r="D26" i="7" s="1"/>
  <c r="E26" i="7" s="1"/>
  <c r="C28" i="7"/>
  <c r="D28" i="7" s="1"/>
  <c r="E28" i="7" s="1"/>
  <c r="C44" i="7"/>
  <c r="D44" i="7" s="1"/>
  <c r="E44" i="7" s="1"/>
  <c r="C59" i="7"/>
  <c r="D59" i="7" s="1"/>
  <c r="E59" i="7" s="1"/>
  <c r="C55" i="7"/>
  <c r="D55" i="7" s="1"/>
  <c r="E55" i="7" s="1"/>
  <c r="C50" i="7"/>
  <c r="D50" i="7" s="1"/>
  <c r="E50" i="7" s="1"/>
  <c r="H3" i="1" l="1"/>
  <c r="M7" i="11"/>
  <c r="N51" i="11" s="1"/>
  <c r="O51" i="11" s="1"/>
  <c r="N5" i="1"/>
  <c r="L49" i="11"/>
  <c r="M49" i="11" s="1"/>
  <c r="L34" i="11"/>
  <c r="M34" i="11" s="1"/>
  <c r="L16" i="11"/>
  <c r="M16" i="11" s="1"/>
  <c r="L22" i="11"/>
  <c r="M22" i="11" s="1"/>
  <c r="L19" i="11"/>
  <c r="M19" i="11" s="1"/>
  <c r="L15" i="11"/>
  <c r="M15" i="11" s="1"/>
  <c r="L18" i="11"/>
  <c r="M18" i="11" s="1"/>
  <c r="L62" i="11"/>
  <c r="M62" i="11" s="1"/>
  <c r="L53" i="11"/>
  <c r="M53" i="11" s="1"/>
  <c r="L21" i="11"/>
  <c r="M21" i="11" s="1"/>
  <c r="L14" i="11"/>
  <c r="M14" i="11" s="1"/>
  <c r="L31" i="11"/>
  <c r="M31" i="11" s="1"/>
  <c r="L24" i="11"/>
  <c r="M24" i="11" s="1"/>
  <c r="L46" i="11"/>
  <c r="M46" i="11" s="1"/>
  <c r="L23" i="11"/>
  <c r="M23" i="11" s="1"/>
  <c r="L54" i="11"/>
  <c r="M54" i="11" s="1"/>
  <c r="L59" i="11"/>
  <c r="M59" i="11" s="1"/>
  <c r="L64" i="11"/>
  <c r="M64" i="11" s="1"/>
  <c r="L42" i="11"/>
  <c r="M42" i="11" s="1"/>
  <c r="L28" i="11"/>
  <c r="M28" i="11" s="1"/>
  <c r="L57" i="11"/>
  <c r="M57" i="11" s="1"/>
  <c r="L37" i="11"/>
  <c r="M37" i="11" s="1"/>
  <c r="L51" i="11"/>
  <c r="M51" i="11" s="1"/>
  <c r="L41" i="11"/>
  <c r="M41" i="11" s="1"/>
  <c r="L63" i="11"/>
  <c r="M63" i="11" s="1"/>
  <c r="L33" i="11"/>
  <c r="M33" i="11" s="1"/>
  <c r="L47" i="11"/>
  <c r="M47" i="11" s="1"/>
  <c r="L55" i="11"/>
  <c r="M55" i="11" s="1"/>
  <c r="L58" i="11"/>
  <c r="M58" i="11" s="1"/>
  <c r="L56" i="11"/>
  <c r="M56" i="11" s="1"/>
  <c r="N6" i="1"/>
  <c r="L20" i="11"/>
  <c r="M20" i="11" s="1"/>
  <c r="L30" i="11"/>
  <c r="M30" i="11" s="1"/>
  <c r="L17" i="11"/>
  <c r="M17" i="11" s="1"/>
  <c r="L36" i="11"/>
  <c r="M36" i="11" s="1"/>
  <c r="L48" i="11"/>
  <c r="M48" i="11" s="1"/>
  <c r="L39" i="11"/>
  <c r="M39" i="11" s="1"/>
  <c r="L45" i="11"/>
  <c r="M45" i="11" s="1"/>
  <c r="L12" i="11"/>
  <c r="M12" i="11" s="1"/>
  <c r="J32" i="10"/>
  <c r="L38" i="11"/>
  <c r="M38" i="11" s="1"/>
  <c r="L26" i="11"/>
  <c r="M26" i="11" s="1"/>
  <c r="L13" i="11"/>
  <c r="M13" i="11" s="1"/>
  <c r="L44" i="11"/>
  <c r="M44" i="11" s="1"/>
  <c r="L52" i="11"/>
  <c r="M52" i="11" s="1"/>
  <c r="L43" i="11"/>
  <c r="M43" i="11" s="1"/>
  <c r="L35" i="11"/>
  <c r="M35" i="11" s="1"/>
  <c r="L50" i="11"/>
  <c r="M50" i="11" s="1"/>
  <c r="L32" i="11"/>
  <c r="L27" i="11"/>
  <c r="M27" i="11" s="1"/>
  <c r="L60" i="11"/>
  <c r="M60" i="11" s="1"/>
  <c r="L40" i="11"/>
  <c r="M40" i="11" s="1"/>
  <c r="L61" i="11"/>
  <c r="M61" i="11" s="1"/>
  <c r="L25" i="11"/>
  <c r="M25" i="11" s="1"/>
  <c r="L29" i="11"/>
  <c r="M29" i="11" s="1"/>
  <c r="J48" i="10"/>
  <c r="G49" i="10"/>
  <c r="F49" i="10"/>
  <c r="H49" i="10" s="1"/>
  <c r="M6" i="10"/>
  <c r="F26" i="10"/>
  <c r="H26" i="10" s="1"/>
  <c r="G26" i="10"/>
  <c r="J25" i="10"/>
  <c r="G46" i="10"/>
  <c r="F46" i="10"/>
  <c r="H46" i="10" s="1"/>
  <c r="J45" i="10"/>
  <c r="J61" i="10"/>
  <c r="G62" i="10"/>
  <c r="F62" i="10"/>
  <c r="H62" i="10" s="1"/>
  <c r="G35" i="10"/>
  <c r="F35" i="10"/>
  <c r="H35" i="10" s="1"/>
  <c r="J34" i="10"/>
  <c r="M4" i="10" s="1"/>
  <c r="J30" i="10"/>
  <c r="F31" i="10"/>
  <c r="H31" i="10" s="1"/>
  <c r="G31" i="10"/>
  <c r="G51" i="10"/>
  <c r="F51" i="10"/>
  <c r="H51" i="10" s="1"/>
  <c r="J50" i="10"/>
  <c r="G19" i="10"/>
  <c r="F19" i="10"/>
  <c r="H19" i="10" s="1"/>
  <c r="J18" i="10"/>
  <c r="F25" i="10"/>
  <c r="H25" i="10" s="1"/>
  <c r="G25" i="10"/>
  <c r="J24" i="10"/>
  <c r="G21" i="10"/>
  <c r="F21" i="10"/>
  <c r="H21" i="10" s="1"/>
  <c r="J20" i="10"/>
  <c r="J31" i="10"/>
  <c r="M2" i="10"/>
  <c r="G32" i="10"/>
  <c r="F32" i="10"/>
  <c r="H32" i="10" s="1"/>
  <c r="G52" i="10"/>
  <c r="F52" i="10"/>
  <c r="H52" i="10" s="1"/>
  <c r="J51" i="10"/>
  <c r="G18" i="10"/>
  <c r="F18" i="10"/>
  <c r="H18" i="10" s="1"/>
  <c r="J17" i="10"/>
  <c r="F34" i="9"/>
  <c r="H34" i="9" s="1"/>
  <c r="G34" i="9"/>
  <c r="J33" i="9"/>
  <c r="M3" i="9"/>
  <c r="G30" i="9"/>
  <c r="J29" i="9"/>
  <c r="F30" i="9"/>
  <c r="H30" i="9" s="1"/>
  <c r="F42" i="9"/>
  <c r="H42" i="9" s="1"/>
  <c r="G42" i="9"/>
  <c r="J41" i="9"/>
  <c r="G12" i="9"/>
  <c r="J18" i="9"/>
  <c r="G19" i="9"/>
  <c r="F19" i="9"/>
  <c r="H19" i="9" s="1"/>
  <c r="J27" i="9"/>
  <c r="F28" i="9"/>
  <c r="H28" i="9" s="1"/>
  <c r="G28" i="9"/>
  <c r="F52" i="9"/>
  <c r="H52" i="9" s="1"/>
  <c r="J51" i="9"/>
  <c r="G52" i="9"/>
  <c r="J24" i="9"/>
  <c r="F25" i="9"/>
  <c r="H25" i="9" s="1"/>
  <c r="G25" i="9"/>
  <c r="J39" i="9"/>
  <c r="G40" i="9"/>
  <c r="F40" i="9"/>
  <c r="H40" i="9" s="1"/>
  <c r="F61" i="9"/>
  <c r="H61" i="9" s="1"/>
  <c r="J60" i="9"/>
  <c r="G61" i="9"/>
  <c r="G33" i="9"/>
  <c r="J32" i="9"/>
  <c r="F33" i="9"/>
  <c r="H33" i="9" s="1"/>
  <c r="F62" i="9"/>
  <c r="H62" i="9" s="1"/>
  <c r="G62" i="9"/>
  <c r="J61" i="9"/>
  <c r="F31" i="9"/>
  <c r="H31" i="9" s="1"/>
  <c r="G31" i="9"/>
  <c r="J30" i="9"/>
  <c r="J52" i="10"/>
  <c r="G53" i="10"/>
  <c r="F53" i="10"/>
  <c r="H53" i="10" s="1"/>
  <c r="F30" i="10"/>
  <c r="H30" i="10" s="1"/>
  <c r="G30" i="10"/>
  <c r="J29" i="10"/>
  <c r="J49" i="10"/>
  <c r="G50" i="10"/>
  <c r="F50" i="10"/>
  <c r="H50" i="10" s="1"/>
  <c r="F20" i="10"/>
  <c r="H20" i="10" s="1"/>
  <c r="J19" i="10"/>
  <c r="G20" i="10"/>
  <c r="F16" i="10"/>
  <c r="H16" i="10" s="1"/>
  <c r="J15" i="10"/>
  <c r="G16" i="10"/>
  <c r="G39" i="10"/>
  <c r="F39" i="10"/>
  <c r="H39" i="10" s="1"/>
  <c r="J38" i="10"/>
  <c r="G55" i="10"/>
  <c r="F55" i="10"/>
  <c r="H55" i="10" s="1"/>
  <c r="J54" i="10"/>
  <c r="F14" i="10"/>
  <c r="H14" i="10" s="1"/>
  <c r="J13" i="10"/>
  <c r="G14" i="10"/>
  <c r="J36" i="10"/>
  <c r="G37" i="10"/>
  <c r="F37" i="10"/>
  <c r="H37" i="10" s="1"/>
  <c r="G12" i="10"/>
  <c r="G40" i="10"/>
  <c r="F40" i="10"/>
  <c r="H40" i="10" s="1"/>
  <c r="J39" i="10"/>
  <c r="J55" i="10"/>
  <c r="G56" i="10"/>
  <c r="F56" i="10"/>
  <c r="H56" i="10" s="1"/>
  <c r="J12" i="10"/>
  <c r="G13" i="10"/>
  <c r="F13" i="10"/>
  <c r="H13" i="10" s="1"/>
  <c r="F12" i="10"/>
  <c r="H12" i="10" s="1"/>
  <c r="F56" i="9"/>
  <c r="H56" i="9" s="1"/>
  <c r="G56" i="9"/>
  <c r="J55" i="9"/>
  <c r="G22" i="9"/>
  <c r="F22" i="9"/>
  <c r="H22" i="9" s="1"/>
  <c r="J21" i="9"/>
  <c r="G50" i="9"/>
  <c r="J49" i="9"/>
  <c r="F50" i="9"/>
  <c r="H50" i="9" s="1"/>
  <c r="J46" i="9"/>
  <c r="G47" i="9"/>
  <c r="F47" i="9"/>
  <c r="H47" i="9" s="1"/>
  <c r="F24" i="9"/>
  <c r="H24" i="9" s="1"/>
  <c r="G24" i="9"/>
  <c r="J23" i="9"/>
  <c r="J19" i="9"/>
  <c r="F20" i="9"/>
  <c r="H20" i="9" s="1"/>
  <c r="G20" i="9"/>
  <c r="F60" i="9"/>
  <c r="H60" i="9" s="1"/>
  <c r="G60" i="9"/>
  <c r="J59" i="9"/>
  <c r="F13" i="9"/>
  <c r="H13" i="9" s="1"/>
  <c r="G13" i="9"/>
  <c r="J12" i="9"/>
  <c r="F12" i="9"/>
  <c r="H12" i="9" s="1"/>
  <c r="G64" i="9"/>
  <c r="F64" i="9"/>
  <c r="H64" i="9" s="1"/>
  <c r="J64" i="9"/>
  <c r="J63" i="9"/>
  <c r="J36" i="9"/>
  <c r="G37" i="9"/>
  <c r="F37" i="9"/>
  <c r="H37" i="9" s="1"/>
  <c r="J37" i="9"/>
  <c r="F38" i="9"/>
  <c r="H38" i="9" s="1"/>
  <c r="G38" i="9"/>
  <c r="G59" i="9"/>
  <c r="F59" i="9"/>
  <c r="H59" i="9" s="1"/>
  <c r="J58" i="9"/>
  <c r="J22" i="9"/>
  <c r="G23" i="9"/>
  <c r="F23" i="9"/>
  <c r="H23" i="9" s="1"/>
  <c r="J28" i="10"/>
  <c r="G29" i="10"/>
  <c r="F29" i="10"/>
  <c r="H29" i="10" s="1"/>
  <c r="G61" i="10"/>
  <c r="F61" i="10"/>
  <c r="H61" i="10" s="1"/>
  <c r="J60" i="10"/>
  <c r="G38" i="10"/>
  <c r="F38" i="10"/>
  <c r="H38" i="10" s="1"/>
  <c r="J37" i="10"/>
  <c r="J53" i="10"/>
  <c r="G54" i="10"/>
  <c r="F54" i="10"/>
  <c r="H54" i="10" s="1"/>
  <c r="J14" i="10"/>
  <c r="G15" i="10"/>
  <c r="F15" i="10"/>
  <c r="H15" i="10" s="1"/>
  <c r="G23" i="10"/>
  <c r="J22" i="10"/>
  <c r="F23" i="10"/>
  <c r="H23" i="10" s="1"/>
  <c r="F43" i="10"/>
  <c r="H43" i="10" s="1"/>
  <c r="J42" i="10"/>
  <c r="G43" i="10"/>
  <c r="G59" i="10"/>
  <c r="F59" i="10"/>
  <c r="H59" i="10" s="1"/>
  <c r="J58" i="10"/>
  <c r="G33" i="10"/>
  <c r="F33" i="10"/>
  <c r="H33" i="10" s="1"/>
  <c r="J44" i="10"/>
  <c r="G45" i="10"/>
  <c r="F45" i="10"/>
  <c r="H45" i="10" s="1"/>
  <c r="G24" i="10"/>
  <c r="F24" i="10"/>
  <c r="H24" i="10" s="1"/>
  <c r="J23" i="10"/>
  <c r="F44" i="10"/>
  <c r="H44" i="10" s="1"/>
  <c r="J43" i="10"/>
  <c r="G44" i="10"/>
  <c r="G60" i="10"/>
  <c r="F60" i="10"/>
  <c r="H60" i="10" s="1"/>
  <c r="J59" i="10"/>
  <c r="F36" i="10"/>
  <c r="H36" i="10" s="1"/>
  <c r="J35" i="10"/>
  <c r="G36" i="10"/>
  <c r="G51" i="9"/>
  <c r="F51" i="9"/>
  <c r="H51" i="9" s="1"/>
  <c r="J50" i="9"/>
  <c r="F15" i="9"/>
  <c r="H15" i="9" s="1"/>
  <c r="J14" i="9"/>
  <c r="G15" i="9"/>
  <c r="J57" i="9"/>
  <c r="G58" i="9"/>
  <c r="F58" i="9"/>
  <c r="H58" i="9" s="1"/>
  <c r="J48" i="9"/>
  <c r="M6" i="9"/>
  <c r="G49" i="9"/>
  <c r="F49" i="9"/>
  <c r="H49" i="9" s="1"/>
  <c r="J47" i="9"/>
  <c r="F48" i="9"/>
  <c r="H48" i="9" s="1"/>
  <c r="G48" i="9"/>
  <c r="G36" i="9"/>
  <c r="F36" i="9"/>
  <c r="H36" i="9" s="1"/>
  <c r="J35" i="9"/>
  <c r="F14" i="9"/>
  <c r="H14" i="9" s="1"/>
  <c r="J13" i="9"/>
  <c r="G14" i="9"/>
  <c r="F53" i="9"/>
  <c r="H53" i="9" s="1"/>
  <c r="J52" i="9"/>
  <c r="G53" i="9"/>
  <c r="G57" i="9"/>
  <c r="J56" i="9"/>
  <c r="F57" i="9"/>
  <c r="H57" i="9" s="1"/>
  <c r="F26" i="9"/>
  <c r="H26" i="9" s="1"/>
  <c r="G26" i="9"/>
  <c r="J25" i="9"/>
  <c r="F46" i="9"/>
  <c r="H46" i="9" s="1"/>
  <c r="J45" i="9"/>
  <c r="G46" i="9"/>
  <c r="J54" i="9"/>
  <c r="G55" i="9"/>
  <c r="F55" i="9"/>
  <c r="H55" i="9" s="1"/>
  <c r="J62" i="9"/>
  <c r="G63" i="9"/>
  <c r="F63" i="9"/>
  <c r="H63" i="9" s="1"/>
  <c r="J40" i="10"/>
  <c r="G41" i="10"/>
  <c r="F41" i="10"/>
  <c r="H41" i="10" s="1"/>
  <c r="M3" i="10"/>
  <c r="G34" i="10"/>
  <c r="F34" i="10"/>
  <c r="H34" i="10" s="1"/>
  <c r="J33" i="10"/>
  <c r="G42" i="10"/>
  <c r="F42" i="10"/>
  <c r="H42" i="10" s="1"/>
  <c r="J41" i="10"/>
  <c r="J57" i="10"/>
  <c r="G58" i="10"/>
  <c r="F58" i="10"/>
  <c r="H58" i="10" s="1"/>
  <c r="J16" i="10"/>
  <c r="G17" i="10"/>
  <c r="F17" i="10"/>
  <c r="H17" i="10" s="1"/>
  <c r="J26" i="10"/>
  <c r="F27" i="10"/>
  <c r="H27" i="10" s="1"/>
  <c r="G27" i="10"/>
  <c r="F47" i="10"/>
  <c r="H47" i="10" s="1"/>
  <c r="J46" i="10"/>
  <c r="G47" i="10"/>
  <c r="J62" i="10"/>
  <c r="G63" i="10"/>
  <c r="F63" i="10"/>
  <c r="H63" i="10" s="1"/>
  <c r="J21" i="10"/>
  <c r="F22" i="10"/>
  <c r="H22" i="10" s="1"/>
  <c r="G22" i="10"/>
  <c r="J56" i="10"/>
  <c r="G57" i="10"/>
  <c r="F57" i="10"/>
  <c r="H57" i="10" s="1"/>
  <c r="F28" i="10"/>
  <c r="H28" i="10" s="1"/>
  <c r="J27" i="10"/>
  <c r="G28" i="10"/>
  <c r="F48" i="10"/>
  <c r="H48" i="10" s="1"/>
  <c r="J47" i="10"/>
  <c r="G48" i="10"/>
  <c r="G64" i="10"/>
  <c r="F64" i="10"/>
  <c r="H64" i="10" s="1"/>
  <c r="J64" i="10"/>
  <c r="J63" i="10"/>
  <c r="J31" i="9"/>
  <c r="G32" i="9"/>
  <c r="F32" i="9"/>
  <c r="H32" i="9" s="1"/>
  <c r="M2" i="9"/>
  <c r="G21" i="9"/>
  <c r="F21" i="9"/>
  <c r="H21" i="9" s="1"/>
  <c r="J20" i="9"/>
  <c r="G35" i="9"/>
  <c r="J34" i="9"/>
  <c r="M4" i="9" s="1"/>
  <c r="F35" i="9"/>
  <c r="H35" i="9" s="1"/>
  <c r="J42" i="9"/>
  <c r="F43" i="9"/>
  <c r="H43" i="9" s="1"/>
  <c r="G43" i="9"/>
  <c r="G27" i="9"/>
  <c r="F27" i="9"/>
  <c r="H27" i="9" s="1"/>
  <c r="J26" i="9"/>
  <c r="G45" i="9"/>
  <c r="F45" i="9"/>
  <c r="H45" i="9" s="1"/>
  <c r="J44" i="9"/>
  <c r="G44" i="9"/>
  <c r="F44" i="9"/>
  <c r="H44" i="9" s="1"/>
  <c r="J43" i="9"/>
  <c r="J40" i="9"/>
  <c r="G41" i="9"/>
  <c r="F41" i="9"/>
  <c r="H41" i="9" s="1"/>
  <c r="J15" i="9"/>
  <c r="G16" i="9"/>
  <c r="F16" i="9"/>
  <c r="H16" i="9" s="1"/>
  <c r="G29" i="9"/>
  <c r="F29" i="9"/>
  <c r="H29" i="9" s="1"/>
  <c r="J28" i="9"/>
  <c r="F18" i="9"/>
  <c r="H18" i="9" s="1"/>
  <c r="J17" i="9"/>
  <c r="G18" i="9"/>
  <c r="G54" i="9"/>
  <c r="J53" i="9"/>
  <c r="F54" i="9"/>
  <c r="H54" i="9" s="1"/>
  <c r="J38" i="9"/>
  <c r="G39" i="9"/>
  <c r="F39" i="9"/>
  <c r="H39" i="9" s="1"/>
  <c r="F17" i="9"/>
  <c r="H17" i="9" s="1"/>
  <c r="J16" i="9"/>
  <c r="G17" i="9"/>
  <c r="M3" i="7"/>
  <c r="E49" i="7"/>
  <c r="J50" i="7" s="1"/>
  <c r="F59" i="7"/>
  <c r="H59" i="7" s="1"/>
  <c r="G59" i="7"/>
  <c r="J58" i="7"/>
  <c r="G51" i="7"/>
  <c r="F51" i="7"/>
  <c r="H51" i="7" s="1"/>
  <c r="G54" i="7"/>
  <c r="F54" i="7"/>
  <c r="H54" i="7" s="1"/>
  <c r="J53" i="7"/>
  <c r="G19" i="7"/>
  <c r="F19" i="7"/>
  <c r="H19" i="7" s="1"/>
  <c r="J18" i="7"/>
  <c r="F12" i="7"/>
  <c r="H12" i="7" s="1"/>
  <c r="F13" i="7"/>
  <c r="H13" i="7" s="1"/>
  <c r="G13" i="7"/>
  <c r="J12" i="7"/>
  <c r="J39" i="7"/>
  <c r="G40" i="7"/>
  <c r="F40" i="7"/>
  <c r="H40" i="7" s="1"/>
  <c r="J45" i="7"/>
  <c r="F46" i="7"/>
  <c r="H46" i="7" s="1"/>
  <c r="G46" i="7"/>
  <c r="J38" i="7"/>
  <c r="G39" i="7"/>
  <c r="F39" i="7"/>
  <c r="H39" i="7" s="1"/>
  <c r="G38" i="7"/>
  <c r="J37" i="7"/>
  <c r="F38" i="7"/>
  <c r="H38" i="7" s="1"/>
  <c r="G44" i="7"/>
  <c r="J43" i="7"/>
  <c r="F44" i="7"/>
  <c r="H44" i="7" s="1"/>
  <c r="G34" i="7"/>
  <c r="F34" i="7"/>
  <c r="H34" i="7" s="1"/>
  <c r="F36" i="7"/>
  <c r="H36" i="7" s="1"/>
  <c r="J35" i="7"/>
  <c r="G36" i="7"/>
  <c r="J40" i="7"/>
  <c r="F41" i="7"/>
  <c r="H41" i="7" s="1"/>
  <c r="G41" i="7"/>
  <c r="E32" i="7"/>
  <c r="G33" i="7"/>
  <c r="J32" i="7"/>
  <c r="F24" i="7"/>
  <c r="H24" i="7" s="1"/>
  <c r="G24" i="7"/>
  <c r="J23" i="7"/>
  <c r="G58" i="7"/>
  <c r="J57" i="7"/>
  <c r="F58" i="7"/>
  <c r="H58" i="7" s="1"/>
  <c r="J59" i="7"/>
  <c r="G60" i="7"/>
  <c r="F60" i="7"/>
  <c r="H60" i="7" s="1"/>
  <c r="G42" i="7"/>
  <c r="J41" i="7"/>
  <c r="F42" i="7"/>
  <c r="H42" i="7" s="1"/>
  <c r="J29" i="7"/>
  <c r="F30" i="7"/>
  <c r="H30" i="7" s="1"/>
  <c r="G30" i="7"/>
  <c r="F23" i="7"/>
  <c r="H23" i="7" s="1"/>
  <c r="G23" i="7"/>
  <c r="J22" i="7"/>
  <c r="F22" i="7"/>
  <c r="H22" i="7" s="1"/>
  <c r="G22" i="7"/>
  <c r="J21" i="7"/>
  <c r="F48" i="7"/>
  <c r="H48" i="7" s="1"/>
  <c r="J47" i="7"/>
  <c r="G48" i="7"/>
  <c r="G50" i="7"/>
  <c r="J49" i="7"/>
  <c r="F28" i="7"/>
  <c r="H28" i="7" s="1"/>
  <c r="J27" i="7"/>
  <c r="G28" i="7"/>
  <c r="J17" i="7"/>
  <c r="G18" i="7"/>
  <c r="F18" i="7"/>
  <c r="H18" i="7" s="1"/>
  <c r="F20" i="7"/>
  <c r="H20" i="7" s="1"/>
  <c r="G20" i="7"/>
  <c r="J19" i="7"/>
  <c r="G25" i="7"/>
  <c r="F25" i="7"/>
  <c r="H25" i="7" s="1"/>
  <c r="J24" i="7"/>
  <c r="G16" i="7"/>
  <c r="F16" i="7"/>
  <c r="H16" i="7" s="1"/>
  <c r="J15" i="7"/>
  <c r="G17" i="7"/>
  <c r="F17" i="7"/>
  <c r="H17" i="7" s="1"/>
  <c r="J16" i="7"/>
  <c r="J51" i="7"/>
  <c r="G52" i="7"/>
  <c r="F52" i="7"/>
  <c r="H52" i="7" s="1"/>
  <c r="F45" i="7"/>
  <c r="H45" i="7" s="1"/>
  <c r="G45" i="7"/>
  <c r="J44" i="7"/>
  <c r="J42" i="7"/>
  <c r="F43" i="7"/>
  <c r="H43" i="7" s="1"/>
  <c r="G43" i="7"/>
  <c r="G47" i="7"/>
  <c r="F47" i="7"/>
  <c r="H47" i="7" s="1"/>
  <c r="J46" i="7"/>
  <c r="G14" i="7"/>
  <c r="J13" i="7"/>
  <c r="F14" i="7"/>
  <c r="H14" i="7" s="1"/>
  <c r="G21" i="7"/>
  <c r="J20" i="7"/>
  <c r="F21" i="7"/>
  <c r="H21" i="7" s="1"/>
  <c r="G61" i="7"/>
  <c r="F61" i="7"/>
  <c r="H61" i="7" s="1"/>
  <c r="J60" i="7"/>
  <c r="J52" i="7"/>
  <c r="G53" i="7"/>
  <c r="F53" i="7"/>
  <c r="H53" i="7" s="1"/>
  <c r="F37" i="7"/>
  <c r="H37" i="7" s="1"/>
  <c r="G37" i="7"/>
  <c r="J36" i="7"/>
  <c r="F55" i="7"/>
  <c r="H55" i="7" s="1"/>
  <c r="G55" i="7"/>
  <c r="J54" i="7"/>
  <c r="G26" i="7"/>
  <c r="J25" i="7"/>
  <c r="F26" i="7"/>
  <c r="H26" i="7" s="1"/>
  <c r="G12" i="7"/>
  <c r="G64" i="7"/>
  <c r="J63" i="7"/>
  <c r="F64" i="7"/>
  <c r="H64" i="7" s="1"/>
  <c r="J64" i="7"/>
  <c r="F63" i="7"/>
  <c r="H63" i="7" s="1"/>
  <c r="G63" i="7"/>
  <c r="J62" i="7"/>
  <c r="F62" i="7"/>
  <c r="H62" i="7" s="1"/>
  <c r="G62" i="7"/>
  <c r="J61" i="7"/>
  <c r="J30" i="7"/>
  <c r="F31" i="7"/>
  <c r="H31" i="7" s="1"/>
  <c r="G31" i="7"/>
  <c r="F35" i="7"/>
  <c r="H35" i="7" s="1"/>
  <c r="J34" i="7"/>
  <c r="M4" i="7" s="1"/>
  <c r="G35" i="7"/>
  <c r="J28" i="7"/>
  <c r="G29" i="7"/>
  <c r="F29" i="7"/>
  <c r="H29" i="7" s="1"/>
  <c r="G27" i="7"/>
  <c r="F27" i="7"/>
  <c r="H27" i="7" s="1"/>
  <c r="J26" i="7"/>
  <c r="J14" i="7"/>
  <c r="G15" i="7"/>
  <c r="F15" i="7"/>
  <c r="H15" i="7" s="1"/>
  <c r="J55" i="7"/>
  <c r="F56" i="7"/>
  <c r="H56" i="7" s="1"/>
  <c r="G56" i="7"/>
  <c r="F57" i="7"/>
  <c r="H57" i="7" s="1"/>
  <c r="G57" i="7"/>
  <c r="J56" i="7"/>
  <c r="N7" i="1" l="1"/>
  <c r="N37" i="11"/>
  <c r="O37" i="11" s="1"/>
  <c r="N46" i="11"/>
  <c r="O46" i="11" s="1"/>
  <c r="N26" i="11"/>
  <c r="O26" i="11" s="1"/>
  <c r="N23" i="11"/>
  <c r="O23" i="11" s="1"/>
  <c r="N36" i="11"/>
  <c r="O36" i="11" s="1"/>
  <c r="N47" i="11"/>
  <c r="O47" i="11" s="1"/>
  <c r="N50" i="11"/>
  <c r="O50" i="11" s="1"/>
  <c r="N41" i="11"/>
  <c r="O41" i="11" s="1"/>
  <c r="N21" i="11"/>
  <c r="O21" i="11" s="1"/>
  <c r="N58" i="11"/>
  <c r="O58" i="11" s="1"/>
  <c r="N53" i="11"/>
  <c r="O53" i="11" s="1"/>
  <c r="N25" i="11"/>
  <c r="O25" i="11" s="1"/>
  <c r="N56" i="11"/>
  <c r="O56" i="11" s="1"/>
  <c r="N55" i="11"/>
  <c r="O55" i="11" s="1"/>
  <c r="N29" i="11"/>
  <c r="O29" i="11" s="1"/>
  <c r="N40" i="11"/>
  <c r="O40" i="11" s="1"/>
  <c r="N30" i="11"/>
  <c r="O30" i="11" s="1"/>
  <c r="N45" i="11"/>
  <c r="O45" i="11" s="1"/>
  <c r="N20" i="11"/>
  <c r="O20" i="11" s="1"/>
  <c r="M7" i="9"/>
  <c r="N61" i="9" s="1"/>
  <c r="O61" i="9" s="1"/>
  <c r="N24" i="11"/>
  <c r="O24" i="11" s="1"/>
  <c r="M7" i="10"/>
  <c r="N61" i="10" s="1"/>
  <c r="O61" i="10" s="1"/>
  <c r="M7" i="7"/>
  <c r="N61" i="11"/>
  <c r="O61" i="11" s="1"/>
  <c r="N34" i="11"/>
  <c r="O34" i="11" s="1"/>
  <c r="N13" i="11"/>
  <c r="O13" i="11" s="1"/>
  <c r="N15" i="11"/>
  <c r="O15" i="11" s="1"/>
  <c r="N63" i="11"/>
  <c r="O63" i="11" s="1"/>
  <c r="N38" i="11"/>
  <c r="O38" i="11" s="1"/>
  <c r="N60" i="11"/>
  <c r="O60" i="11" s="1"/>
  <c r="N19" i="11"/>
  <c r="O19" i="11" s="1"/>
  <c r="N52" i="11"/>
  <c r="O52" i="11" s="1"/>
  <c r="N14" i="11"/>
  <c r="O14" i="11" s="1"/>
  <c r="N32" i="11"/>
  <c r="N22" i="11"/>
  <c r="O22" i="11" s="1"/>
  <c r="N31" i="11"/>
  <c r="O31" i="11" s="1"/>
  <c r="N57" i="11"/>
  <c r="O57" i="11" s="1"/>
  <c r="N35" i="11"/>
  <c r="O35" i="11" s="1"/>
  <c r="N12" i="11"/>
  <c r="O12" i="11" s="1"/>
  <c r="N49" i="11"/>
  <c r="O49" i="11" s="1"/>
  <c r="N16" i="11"/>
  <c r="O16" i="11" s="1"/>
  <c r="N27" i="11"/>
  <c r="O27" i="11" s="1"/>
  <c r="N17" i="11"/>
  <c r="O17" i="11" s="1"/>
  <c r="N28" i="11"/>
  <c r="O28" i="11" s="1"/>
  <c r="N54" i="11"/>
  <c r="O54" i="11" s="1"/>
  <c r="N64" i="11"/>
  <c r="O64" i="11" s="1"/>
  <c r="N39" i="11"/>
  <c r="O39" i="11" s="1"/>
  <c r="N43" i="11"/>
  <c r="O43" i="11" s="1"/>
  <c r="N48" i="11"/>
  <c r="O48" i="11" s="1"/>
  <c r="N18" i="11"/>
  <c r="O18" i="11" s="1"/>
  <c r="N59" i="11"/>
  <c r="O59" i="11" s="1"/>
  <c r="N33" i="11"/>
  <c r="O33" i="11" s="1"/>
  <c r="N44" i="11"/>
  <c r="O44" i="11" s="1"/>
  <c r="N42" i="11"/>
  <c r="O42" i="11" s="1"/>
  <c r="N62" i="11"/>
  <c r="O62" i="11" s="1"/>
  <c r="L20" i="10"/>
  <c r="M20" i="10" s="1"/>
  <c r="L16" i="10"/>
  <c r="M16" i="10" s="1"/>
  <c r="L50" i="10"/>
  <c r="M50" i="10" s="1"/>
  <c r="L53" i="10"/>
  <c r="M53" i="10" s="1"/>
  <c r="L29" i="9"/>
  <c r="M29" i="9" s="1"/>
  <c r="L12" i="10"/>
  <c r="M12" i="10" s="1"/>
  <c r="L38" i="10"/>
  <c r="M38" i="10" s="1"/>
  <c r="L57" i="10"/>
  <c r="M57" i="10" s="1"/>
  <c r="L27" i="10"/>
  <c r="M27" i="10" s="1"/>
  <c r="L17" i="10"/>
  <c r="M17" i="10" s="1"/>
  <c r="L42" i="10"/>
  <c r="M42" i="10" s="1"/>
  <c r="L43" i="10"/>
  <c r="M43" i="10" s="1"/>
  <c r="L29" i="10"/>
  <c r="M29" i="10" s="1"/>
  <c r="L44" i="9"/>
  <c r="M44" i="9" s="1"/>
  <c r="L18" i="9"/>
  <c r="M18" i="9" s="1"/>
  <c r="L33" i="9"/>
  <c r="M33" i="9" s="1"/>
  <c r="L47" i="9"/>
  <c r="M47" i="9" s="1"/>
  <c r="L19" i="9"/>
  <c r="M19" i="9" s="1"/>
  <c r="L27" i="9"/>
  <c r="M27" i="9" s="1"/>
  <c r="L43" i="9"/>
  <c r="M43" i="9" s="1"/>
  <c r="L34" i="10"/>
  <c r="M34" i="10" s="1"/>
  <c r="L45" i="10"/>
  <c r="M45" i="10" s="1"/>
  <c r="L33" i="10"/>
  <c r="M33" i="10" s="1"/>
  <c r="L42" i="9"/>
  <c r="M42" i="9" s="1"/>
  <c r="L59" i="9"/>
  <c r="M59" i="9" s="1"/>
  <c r="L31" i="9"/>
  <c r="M31" i="9" s="1"/>
  <c r="L34" i="9"/>
  <c r="M34" i="9" s="1"/>
  <c r="L39" i="9"/>
  <c r="M39" i="9" s="1"/>
  <c r="L54" i="9"/>
  <c r="M54" i="9" s="1"/>
  <c r="L32" i="9"/>
  <c r="L41" i="10"/>
  <c r="M41" i="10" s="1"/>
  <c r="L63" i="9"/>
  <c r="M63" i="9" s="1"/>
  <c r="L46" i="9"/>
  <c r="M46" i="9" s="1"/>
  <c r="L58" i="9"/>
  <c r="M58" i="9" s="1"/>
  <c r="L23" i="9"/>
  <c r="M23" i="9" s="1"/>
  <c r="L13" i="10"/>
  <c r="M13" i="10" s="1"/>
  <c r="L40" i="9"/>
  <c r="M40" i="9" s="1"/>
  <c r="L25" i="9"/>
  <c r="M25" i="9" s="1"/>
  <c r="L17" i="9"/>
  <c r="M17" i="9" s="1"/>
  <c r="L16" i="9"/>
  <c r="M16" i="9" s="1"/>
  <c r="L41" i="9"/>
  <c r="M41" i="9" s="1"/>
  <c r="L57" i="9"/>
  <c r="M57" i="9" s="1"/>
  <c r="L14" i="9"/>
  <c r="M14" i="9" s="1"/>
  <c r="L36" i="9"/>
  <c r="M36" i="9" s="1"/>
  <c r="L48" i="9"/>
  <c r="M48" i="9" s="1"/>
  <c r="L37" i="9"/>
  <c r="M37" i="9" s="1"/>
  <c r="L22" i="9"/>
  <c r="M22" i="9" s="1"/>
  <c r="L49" i="10"/>
  <c r="M49" i="10" s="1"/>
  <c r="L15" i="9"/>
  <c r="M15" i="9" s="1"/>
  <c r="L48" i="10"/>
  <c r="M48" i="10" s="1"/>
  <c r="L28" i="10"/>
  <c r="M28" i="10" s="1"/>
  <c r="L63" i="10"/>
  <c r="M63" i="10" s="1"/>
  <c r="L47" i="10"/>
  <c r="M47" i="10" s="1"/>
  <c r="L55" i="9"/>
  <c r="M55" i="9" s="1"/>
  <c r="L53" i="9"/>
  <c r="M53" i="9" s="1"/>
  <c r="L51" i="9"/>
  <c r="M51" i="9" s="1"/>
  <c r="L36" i="10"/>
  <c r="M36" i="10" s="1"/>
  <c r="L24" i="10"/>
  <c r="M24" i="10" s="1"/>
  <c r="L23" i="10"/>
  <c r="M23" i="10" s="1"/>
  <c r="L61" i="10"/>
  <c r="M61" i="10" s="1"/>
  <c r="L38" i="9"/>
  <c r="M38" i="9" s="1"/>
  <c r="L13" i="9"/>
  <c r="M13" i="9" s="1"/>
  <c r="L20" i="9"/>
  <c r="M20" i="9" s="1"/>
  <c r="L24" i="9"/>
  <c r="M24" i="9" s="1"/>
  <c r="L56" i="9"/>
  <c r="M56" i="9" s="1"/>
  <c r="L56" i="10"/>
  <c r="M56" i="10" s="1"/>
  <c r="L40" i="10"/>
  <c r="M40" i="10" s="1"/>
  <c r="L37" i="10"/>
  <c r="M37" i="10" s="1"/>
  <c r="L39" i="10"/>
  <c r="M39" i="10" s="1"/>
  <c r="L30" i="10"/>
  <c r="M30" i="10" s="1"/>
  <c r="L28" i="9"/>
  <c r="M28" i="9" s="1"/>
  <c r="L12" i="9"/>
  <c r="M12" i="9" s="1"/>
  <c r="L32" i="10"/>
  <c r="L51" i="10"/>
  <c r="M51" i="10" s="1"/>
  <c r="L58" i="10"/>
  <c r="M58" i="10" s="1"/>
  <c r="L62" i="10"/>
  <c r="M62" i="10" s="1"/>
  <c r="L46" i="10"/>
  <c r="M46" i="10" s="1"/>
  <c r="L21" i="10"/>
  <c r="M21" i="10" s="1"/>
  <c r="L31" i="10"/>
  <c r="M31" i="10" s="1"/>
  <c r="L26" i="10"/>
  <c r="M26" i="10" s="1"/>
  <c r="L45" i="9"/>
  <c r="M45" i="9" s="1"/>
  <c r="L35" i="9"/>
  <c r="M35" i="9" s="1"/>
  <c r="L21" i="9"/>
  <c r="M21" i="9" s="1"/>
  <c r="L64" i="10"/>
  <c r="M64" i="10" s="1"/>
  <c r="L22" i="10"/>
  <c r="M22" i="10" s="1"/>
  <c r="L26" i="9"/>
  <c r="M26" i="9" s="1"/>
  <c r="L49" i="9"/>
  <c r="M49" i="9" s="1"/>
  <c r="L60" i="10"/>
  <c r="M60" i="10" s="1"/>
  <c r="L44" i="10"/>
  <c r="M44" i="10" s="1"/>
  <c r="L59" i="10"/>
  <c r="M59" i="10" s="1"/>
  <c r="L15" i="10"/>
  <c r="M15" i="10" s="1"/>
  <c r="L54" i="10"/>
  <c r="M54" i="10" s="1"/>
  <c r="L64" i="9"/>
  <c r="M64" i="9" s="1"/>
  <c r="L60" i="9"/>
  <c r="M60" i="9" s="1"/>
  <c r="L50" i="9"/>
  <c r="M50" i="9" s="1"/>
  <c r="L14" i="10"/>
  <c r="M14" i="10" s="1"/>
  <c r="L55" i="10"/>
  <c r="M55" i="10" s="1"/>
  <c r="L62" i="9"/>
  <c r="M62" i="9" s="1"/>
  <c r="L61" i="9"/>
  <c r="M61" i="9" s="1"/>
  <c r="L52" i="9"/>
  <c r="M52" i="9" s="1"/>
  <c r="L30" i="9"/>
  <c r="M30" i="9" s="1"/>
  <c r="L18" i="10"/>
  <c r="M18" i="10" s="1"/>
  <c r="L52" i="10"/>
  <c r="M52" i="10" s="1"/>
  <c r="L25" i="10"/>
  <c r="M25" i="10" s="1"/>
  <c r="L19" i="10"/>
  <c r="M19" i="10" s="1"/>
  <c r="L35" i="10"/>
  <c r="M35" i="10" s="1"/>
  <c r="J48" i="7"/>
  <c r="F49" i="7"/>
  <c r="H49" i="7" s="1"/>
  <c r="G49" i="7"/>
  <c r="F50" i="7"/>
  <c r="H50" i="7" s="1"/>
  <c r="M2" i="7"/>
  <c r="L32" i="7" s="1"/>
  <c r="M6" i="7"/>
  <c r="S5" i="1" s="1"/>
  <c r="J31" i="7"/>
  <c r="F32" i="7"/>
  <c r="H32" i="7" s="1"/>
  <c r="G32" i="7"/>
  <c r="F33" i="7"/>
  <c r="H33" i="7" s="1"/>
  <c r="J33" i="7"/>
  <c r="N60" i="9" l="1"/>
  <c r="O60" i="9" s="1"/>
  <c r="N18" i="9"/>
  <c r="O18" i="9" s="1"/>
  <c r="N52" i="9"/>
  <c r="O52" i="9" s="1"/>
  <c r="N13" i="9"/>
  <c r="O13" i="9" s="1"/>
  <c r="N25" i="9"/>
  <c r="O25" i="9" s="1"/>
  <c r="N62" i="9"/>
  <c r="O62" i="9" s="1"/>
  <c r="N62" i="10"/>
  <c r="O62" i="10" s="1"/>
  <c r="N28" i="10"/>
  <c r="O28" i="10" s="1"/>
  <c r="N50" i="10"/>
  <c r="O50" i="10" s="1"/>
  <c r="N40" i="10"/>
  <c r="O40" i="10" s="1"/>
  <c r="N46" i="10"/>
  <c r="O46" i="10" s="1"/>
  <c r="N38" i="10"/>
  <c r="O38" i="10" s="1"/>
  <c r="N33" i="10"/>
  <c r="O33" i="10" s="1"/>
  <c r="N20" i="10"/>
  <c r="O20" i="10" s="1"/>
  <c r="N17" i="10"/>
  <c r="O17" i="10" s="1"/>
  <c r="N57" i="10"/>
  <c r="O57" i="10" s="1"/>
  <c r="N23" i="10"/>
  <c r="O23" i="10" s="1"/>
  <c r="N27" i="10"/>
  <c r="O27" i="10" s="1"/>
  <c r="N63" i="10"/>
  <c r="O63" i="10" s="1"/>
  <c r="N35" i="10"/>
  <c r="O35" i="10" s="1"/>
  <c r="N59" i="10"/>
  <c r="O59" i="10" s="1"/>
  <c r="N56" i="10"/>
  <c r="O56" i="10" s="1"/>
  <c r="N30" i="10"/>
  <c r="O30" i="10" s="1"/>
  <c r="N31" i="10"/>
  <c r="O31" i="10" s="1"/>
  <c r="N14" i="10"/>
  <c r="O14" i="10" s="1"/>
  <c r="S6" i="1"/>
  <c r="S7" i="1" s="1"/>
  <c r="N37" i="10"/>
  <c r="O37" i="10" s="1"/>
  <c r="N12" i="10"/>
  <c r="O12" i="10" s="1"/>
  <c r="N64" i="10"/>
  <c r="O64" i="10" s="1"/>
  <c r="N34" i="9"/>
  <c r="O34" i="9" s="1"/>
  <c r="N13" i="10"/>
  <c r="O13" i="10" s="1"/>
  <c r="N51" i="9"/>
  <c r="O51" i="9" s="1"/>
  <c r="N56" i="9"/>
  <c r="O56" i="9" s="1"/>
  <c r="N52" i="10"/>
  <c r="O52" i="10" s="1"/>
  <c r="N34" i="10"/>
  <c r="O34" i="10" s="1"/>
  <c r="N42" i="10"/>
  <c r="O42" i="10" s="1"/>
  <c r="N25" i="10"/>
  <c r="O25" i="10" s="1"/>
  <c r="N42" i="9"/>
  <c r="O42" i="9" s="1"/>
  <c r="N47" i="10"/>
  <c r="O47" i="10" s="1"/>
  <c r="N26" i="10"/>
  <c r="O26" i="10" s="1"/>
  <c r="N21" i="10"/>
  <c r="O21" i="10" s="1"/>
  <c r="N41" i="10"/>
  <c r="O41" i="10" s="1"/>
  <c r="N45" i="9"/>
  <c r="O45" i="9" s="1"/>
  <c r="N36" i="10"/>
  <c r="O36" i="10" s="1"/>
  <c r="N32" i="10"/>
  <c r="N49" i="10"/>
  <c r="O49" i="10" s="1"/>
  <c r="N29" i="10"/>
  <c r="O29" i="10" s="1"/>
  <c r="N51" i="10"/>
  <c r="O51" i="10" s="1"/>
  <c r="N16" i="10"/>
  <c r="O16" i="10" s="1"/>
  <c r="N63" i="9"/>
  <c r="O63" i="9" s="1"/>
  <c r="N24" i="9"/>
  <c r="O24" i="9" s="1"/>
  <c r="N27" i="9"/>
  <c r="O27" i="9" s="1"/>
  <c r="N20" i="9"/>
  <c r="O20" i="9" s="1"/>
  <c r="N39" i="9"/>
  <c r="O39" i="9" s="1"/>
  <c r="N31" i="9"/>
  <c r="O31" i="9" s="1"/>
  <c r="N19" i="9"/>
  <c r="O19" i="9" s="1"/>
  <c r="N33" i="9"/>
  <c r="O33" i="9" s="1"/>
  <c r="N37" i="9"/>
  <c r="O37" i="9" s="1"/>
  <c r="N26" i="9"/>
  <c r="O26" i="9" s="1"/>
  <c r="N35" i="9"/>
  <c r="O35" i="9" s="1"/>
  <c r="N32" i="9"/>
  <c r="N38" i="9"/>
  <c r="O38" i="9" s="1"/>
  <c r="N12" i="9"/>
  <c r="O12" i="9" s="1"/>
  <c r="N44" i="9"/>
  <c r="O44" i="9" s="1"/>
  <c r="N30" i="9"/>
  <c r="O30" i="9" s="1"/>
  <c r="N50" i="9"/>
  <c r="O50" i="9" s="1"/>
  <c r="N28" i="9"/>
  <c r="O28" i="9" s="1"/>
  <c r="N58" i="9"/>
  <c r="O58" i="9" s="1"/>
  <c r="N36" i="9"/>
  <c r="O36" i="9" s="1"/>
  <c r="N14" i="9"/>
  <c r="O14" i="9" s="1"/>
  <c r="N49" i="9"/>
  <c r="O49" i="9" s="1"/>
  <c r="N17" i="9"/>
  <c r="O17" i="9" s="1"/>
  <c r="N41" i="9"/>
  <c r="O41" i="9" s="1"/>
  <c r="N21" i="9"/>
  <c r="O21" i="9" s="1"/>
  <c r="N54" i="10"/>
  <c r="O54" i="10" s="1"/>
  <c r="N39" i="10"/>
  <c r="O39" i="10" s="1"/>
  <c r="N55" i="10"/>
  <c r="O55" i="10" s="1"/>
  <c r="N59" i="9"/>
  <c r="O59" i="9" s="1"/>
  <c r="N22" i="9"/>
  <c r="O22" i="9" s="1"/>
  <c r="N16" i="9"/>
  <c r="O16" i="9" s="1"/>
  <c r="N43" i="9"/>
  <c r="O43" i="9" s="1"/>
  <c r="N18" i="10"/>
  <c r="O18" i="10" s="1"/>
  <c r="N60" i="10"/>
  <c r="O60" i="10" s="1"/>
  <c r="N23" i="9"/>
  <c r="O23" i="9" s="1"/>
  <c r="N64" i="9"/>
  <c r="O64" i="9" s="1"/>
  <c r="N54" i="9"/>
  <c r="O54" i="9" s="1"/>
  <c r="N48" i="9"/>
  <c r="O48" i="9" s="1"/>
  <c r="N46" i="9"/>
  <c r="O46" i="9" s="1"/>
  <c r="N44" i="10"/>
  <c r="O44" i="10" s="1"/>
  <c r="N15" i="9"/>
  <c r="O15" i="9" s="1"/>
  <c r="N57" i="9"/>
  <c r="O57" i="9" s="1"/>
  <c r="N48" i="10"/>
  <c r="O48" i="10" s="1"/>
  <c r="N22" i="10"/>
  <c r="O22" i="10" s="1"/>
  <c r="N19" i="10"/>
  <c r="O19" i="10" s="1"/>
  <c r="N40" i="9"/>
  <c r="O40" i="9" s="1"/>
  <c r="N47" i="9"/>
  <c r="O47" i="9" s="1"/>
  <c r="N43" i="10"/>
  <c r="O43" i="10" s="1"/>
  <c r="N55" i="9"/>
  <c r="O55" i="9" s="1"/>
  <c r="N58" i="10"/>
  <c r="O58" i="10" s="1"/>
  <c r="N15" i="10"/>
  <c r="O15" i="10" s="1"/>
  <c r="N53" i="9"/>
  <c r="O53" i="9" s="1"/>
  <c r="N29" i="9"/>
  <c r="O29" i="9" s="1"/>
  <c r="N53" i="10"/>
  <c r="O53" i="10" s="1"/>
  <c r="N45" i="10"/>
  <c r="O45" i="10" s="1"/>
  <c r="N24" i="10"/>
  <c r="O24" i="10" s="1"/>
  <c r="N49" i="7"/>
  <c r="O49" i="7" s="1"/>
  <c r="L49" i="7"/>
  <c r="M49" i="7" s="1"/>
  <c r="N32" i="7"/>
  <c r="L28" i="7"/>
  <c r="M28" i="7" s="1"/>
  <c r="L52" i="7"/>
  <c r="M52" i="7" s="1"/>
  <c r="L61" i="7"/>
  <c r="M61" i="7" s="1"/>
  <c r="L26" i="7"/>
  <c r="M26" i="7" s="1"/>
  <c r="L64" i="7"/>
  <c r="M64" i="7" s="1"/>
  <c r="L62" i="7"/>
  <c r="M62" i="7" s="1"/>
  <c r="N29" i="7"/>
  <c r="O29" i="7" s="1"/>
  <c r="N15" i="7"/>
  <c r="O15" i="7" s="1"/>
  <c r="N57" i="7"/>
  <c r="O57" i="7" s="1"/>
  <c r="N16" i="7"/>
  <c r="O16" i="7" s="1"/>
  <c r="N14" i="7"/>
  <c r="O14" i="7" s="1"/>
  <c r="N53" i="7"/>
  <c r="O53" i="7" s="1"/>
  <c r="N54" i="7"/>
  <c r="O54" i="7" s="1"/>
  <c r="N37" i="7"/>
  <c r="O37" i="7" s="1"/>
  <c r="N13" i="7"/>
  <c r="O13" i="7" s="1"/>
  <c r="N46" i="7"/>
  <c r="O46" i="7" s="1"/>
  <c r="N38" i="7"/>
  <c r="O38" i="7" s="1"/>
  <c r="N20" i="7"/>
  <c r="O20" i="7" s="1"/>
  <c r="N43" i="7"/>
  <c r="O43" i="7" s="1"/>
  <c r="N44" i="7"/>
  <c r="O44" i="7" s="1"/>
  <c r="N34" i="7"/>
  <c r="O34" i="7" s="1"/>
  <c r="N41" i="7"/>
  <c r="O41" i="7" s="1"/>
  <c r="N24" i="7"/>
  <c r="O24" i="7" s="1"/>
  <c r="N60" i="7"/>
  <c r="N30" i="7"/>
  <c r="O30" i="7" s="1"/>
  <c r="N22" i="7"/>
  <c r="O22" i="7" s="1"/>
  <c r="L60" i="7"/>
  <c r="N28" i="7"/>
  <c r="O28" i="7" s="1"/>
  <c r="N52" i="7"/>
  <c r="O52" i="7" s="1"/>
  <c r="N61" i="7"/>
  <c r="O61" i="7" s="1"/>
  <c r="N26" i="7"/>
  <c r="O26" i="7" s="1"/>
  <c r="N64" i="7"/>
  <c r="O64" i="7" s="1"/>
  <c r="N62" i="7"/>
  <c r="O62" i="7" s="1"/>
  <c r="L35" i="7"/>
  <c r="M35" i="7" s="1"/>
  <c r="L27" i="7"/>
  <c r="M27" i="7" s="1"/>
  <c r="L56" i="7"/>
  <c r="M56" i="7" s="1"/>
  <c r="L18" i="7"/>
  <c r="M18" i="7" s="1"/>
  <c r="N45" i="7"/>
  <c r="O45" i="7" s="1"/>
  <c r="L59" i="7"/>
  <c r="M59" i="7" s="1"/>
  <c r="L51" i="7"/>
  <c r="M51" i="7" s="1"/>
  <c r="L48" i="7"/>
  <c r="M48" i="7" s="1"/>
  <c r="L19" i="7"/>
  <c r="M19" i="7" s="1"/>
  <c r="L40" i="7"/>
  <c r="M40" i="7" s="1"/>
  <c r="L39" i="7"/>
  <c r="M39" i="7" s="1"/>
  <c r="L50" i="7"/>
  <c r="M50" i="7" s="1"/>
  <c r="L17" i="7"/>
  <c r="M17" i="7" s="1"/>
  <c r="L21" i="7"/>
  <c r="M21" i="7" s="1"/>
  <c r="L36" i="7"/>
  <c r="M36" i="7" s="1"/>
  <c r="L33" i="7"/>
  <c r="M33" i="7" s="1"/>
  <c r="L58" i="7"/>
  <c r="L42" i="7"/>
  <c r="M42" i="7" s="1"/>
  <c r="L23" i="7"/>
  <c r="M23" i="7" s="1"/>
  <c r="L30" i="7"/>
  <c r="M30" i="7" s="1"/>
  <c r="L25" i="7"/>
  <c r="L47" i="7"/>
  <c r="M47" i="7" s="1"/>
  <c r="L55" i="7"/>
  <c r="M55" i="7" s="1"/>
  <c r="L12" i="7"/>
  <c r="M12" i="7" s="1"/>
  <c r="L63" i="7"/>
  <c r="M63" i="7" s="1"/>
  <c r="L31" i="7"/>
  <c r="M31" i="7" s="1"/>
  <c r="N35" i="7"/>
  <c r="O35" i="7" s="1"/>
  <c r="N27" i="7"/>
  <c r="O27" i="7" s="1"/>
  <c r="N56" i="7"/>
  <c r="O56" i="7" s="1"/>
  <c r="N18" i="7"/>
  <c r="O18" i="7" s="1"/>
  <c r="L45" i="7"/>
  <c r="M45" i="7" s="1"/>
  <c r="N59" i="7"/>
  <c r="O59" i="7" s="1"/>
  <c r="N51" i="7"/>
  <c r="O51" i="7" s="1"/>
  <c r="N48" i="7"/>
  <c r="O48" i="7" s="1"/>
  <c r="N19" i="7"/>
  <c r="O19" i="7" s="1"/>
  <c r="N40" i="7"/>
  <c r="O40" i="7" s="1"/>
  <c r="N39" i="7"/>
  <c r="O39" i="7" s="1"/>
  <c r="N50" i="7"/>
  <c r="O50" i="7" s="1"/>
  <c r="N17" i="7"/>
  <c r="O17" i="7" s="1"/>
  <c r="N21" i="7"/>
  <c r="O21" i="7" s="1"/>
  <c r="L34" i="7"/>
  <c r="M34" i="7" s="1"/>
  <c r="N36" i="7"/>
  <c r="O36" i="7" s="1"/>
  <c r="N33" i="7"/>
  <c r="O33" i="7" s="1"/>
  <c r="N58" i="7"/>
  <c r="N42" i="7"/>
  <c r="O42" i="7" s="1"/>
  <c r="N23" i="7"/>
  <c r="O23" i="7" s="1"/>
  <c r="N25" i="7"/>
  <c r="N47" i="7"/>
  <c r="O47" i="7" s="1"/>
  <c r="N55" i="7"/>
  <c r="O55" i="7" s="1"/>
  <c r="N12" i="7"/>
  <c r="O12" i="7" s="1"/>
  <c r="N63" i="7"/>
  <c r="O63" i="7" s="1"/>
  <c r="N31" i="7"/>
  <c r="O31" i="7" s="1"/>
  <c r="L29" i="7"/>
  <c r="M29" i="7" s="1"/>
  <c r="L15" i="7"/>
  <c r="M15" i="7" s="1"/>
  <c r="L57" i="7"/>
  <c r="M57" i="7" s="1"/>
  <c r="L16" i="7"/>
  <c r="M16" i="7" s="1"/>
  <c r="L14" i="7"/>
  <c r="M14" i="7" s="1"/>
  <c r="L53" i="7"/>
  <c r="M53" i="7" s="1"/>
  <c r="L54" i="7"/>
  <c r="M54" i="7" s="1"/>
  <c r="L37" i="7"/>
  <c r="M37" i="7" s="1"/>
  <c r="L13" i="7"/>
  <c r="M13" i="7" s="1"/>
  <c r="L46" i="7"/>
  <c r="M46" i="7" s="1"/>
  <c r="L38" i="7"/>
  <c r="M38" i="7" s="1"/>
  <c r="L20" i="7"/>
  <c r="M20" i="7" s="1"/>
  <c r="L43" i="7"/>
  <c r="M43" i="7" s="1"/>
  <c r="L44" i="7"/>
  <c r="M44" i="7" s="1"/>
  <c r="L41" i="7"/>
  <c r="M41" i="7" s="1"/>
  <c r="L24" i="7"/>
  <c r="M24" i="7" s="1"/>
  <c r="L22" i="7"/>
  <c r="M22" i="7" s="1"/>
  <c r="O60" i="7" l="1"/>
  <c r="T15" i="1" s="1"/>
  <c r="S15" i="1"/>
  <c r="N14" i="1"/>
  <c r="M60" i="7"/>
  <c r="O15" i="1" s="1"/>
  <c r="N15" i="1"/>
  <c r="S16" i="1"/>
  <c r="S14" i="1"/>
  <c r="M58" i="7"/>
  <c r="N16" i="1"/>
  <c r="O25" i="7"/>
  <c r="T14" i="1" s="1"/>
  <c r="M25" i="7"/>
  <c r="O14" i="1" s="1"/>
  <c r="O58" i="7"/>
  <c r="T16" i="1" s="1"/>
  <c r="O16" i="1"/>
</calcChain>
</file>

<file path=xl/sharedStrings.xml><?xml version="1.0" encoding="utf-8"?>
<sst xmlns="http://schemas.openxmlformats.org/spreadsheetml/2006/main" count="317" uniqueCount="94">
  <si>
    <t>ohms</t>
  </si>
  <si>
    <r>
      <t>T/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</si>
  <si>
    <t>V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</si>
  <si>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EXC</t>
    </r>
  </si>
  <si>
    <t>Constants</t>
  </si>
  <si>
    <t>Adjustable Variables</t>
  </si>
  <si>
    <t>Equations</t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</si>
  <si>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</si>
  <si>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</si>
  <si>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RDT_0.5mA</t>
    </r>
    <r>
      <rPr>
        <b/>
        <sz val="11"/>
        <color theme="1"/>
        <rFont val="Calibri"/>
        <family val="2"/>
        <scheme val="minor"/>
      </rPr>
      <t xml:space="preserve"> = 0.5mA * R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</si>
  <si>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drop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EXC</t>
    </r>
    <r>
      <rPr>
        <b/>
        <sz val="11"/>
        <color theme="1"/>
        <rFont val="Calibri"/>
        <family val="2"/>
        <scheme val="minor"/>
      </rPr>
      <t xml:space="preserve"> - V</t>
    </r>
    <r>
      <rPr>
        <b/>
        <vertAlign val="subscript"/>
        <sz val="11"/>
        <color theme="1"/>
        <rFont val="Calibri"/>
        <family val="2"/>
        <scheme val="minor"/>
      </rPr>
      <t>RTD_0.5mA</t>
    </r>
  </si>
  <si>
    <r>
      <t>@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</si>
  <si>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drop</t>
    </r>
    <r>
      <rPr>
        <b/>
        <sz val="11"/>
        <color theme="1"/>
        <rFont val="Calibri"/>
        <family val="2"/>
        <scheme val="minor"/>
      </rPr>
      <t xml:space="preserve"> / 2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</si>
  <si>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/0.5mA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</si>
  <si>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</si>
  <si>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Decade Vals</t>
  </si>
  <si>
    <t>MINIMUMS</t>
  </si>
  <si>
    <t>mA</t>
  </si>
  <si>
    <r>
      <t>Ω/Ω/</t>
    </r>
    <r>
      <rPr>
        <i/>
        <sz val="11"/>
        <color theme="1"/>
        <rFont val="Arial Narrow"/>
        <family val="2"/>
      </rPr>
      <t>°C</t>
    </r>
  </si>
  <si>
    <t>Ω</t>
  </si>
  <si>
    <t>mV</t>
  </si>
  <si>
    <r>
      <rPr>
        <i/>
        <sz val="11"/>
        <color theme="1"/>
        <rFont val="Arial Narrow"/>
        <family val="2"/>
      </rPr>
      <t>°</t>
    </r>
    <r>
      <rPr>
        <i/>
        <sz val="11"/>
        <color theme="1"/>
        <rFont val="Calibri"/>
        <family val="2"/>
      </rPr>
      <t>C</t>
    </r>
  </si>
  <si>
    <r>
      <rPr>
        <b/>
        <sz val="11"/>
        <color theme="1"/>
        <rFont val="Calibri"/>
        <family val="2"/>
        <scheme val="minor"/>
      </rPr>
      <t>Temp</t>
    </r>
    <r>
      <rPr>
        <b/>
        <vertAlign val="subscript"/>
        <sz val="11"/>
        <color theme="1"/>
        <rFont val="Calibri"/>
        <family val="2"/>
        <scheme val="minor"/>
      </rPr>
      <t>Range</t>
    </r>
  </si>
  <si>
    <r>
      <t>mV/</t>
    </r>
    <r>
      <rPr>
        <i/>
        <sz val="11"/>
        <color theme="1"/>
        <rFont val="Arial Narrow"/>
        <family val="2"/>
      </rPr>
      <t>°</t>
    </r>
    <r>
      <rPr>
        <i/>
        <sz val="11"/>
        <color theme="1"/>
        <rFont val="Calibri"/>
        <family val="2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</si>
  <si>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(mV)</t>
    </r>
  </si>
  <si>
    <t>Initial EU</t>
  </si>
  <si>
    <r>
      <t>Sensitivity</t>
    </r>
    <r>
      <rPr>
        <b/>
        <vertAlign val="subscript"/>
        <sz val="11"/>
        <color theme="1"/>
        <rFont val="Calibri"/>
        <family val="2"/>
        <scheme val="minor"/>
      </rPr>
      <t>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</si>
  <si>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</si>
  <si>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RTD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</si>
  <si>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(A)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</si>
  <si>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(mA)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</si>
  <si>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mV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* i</t>
    </r>
    <r>
      <rPr>
        <b/>
        <vertAlign val="subscript"/>
        <sz val="11"/>
        <color theme="1"/>
        <rFont val="Calibri"/>
        <family val="2"/>
        <scheme val="minor"/>
      </rPr>
      <t>RTD (mA)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</si>
  <si>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EXC</t>
    </r>
    <r>
      <rPr>
        <b/>
        <sz val="11"/>
        <color theme="1"/>
        <rFont val="Calibri"/>
        <family val="2"/>
        <scheme val="minor"/>
      </rPr>
      <t xml:space="preserve">  / (R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+ 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+ R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>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</si>
  <si>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BASE</t>
    </r>
    <r>
      <rPr>
        <b/>
        <sz val="11"/>
        <color theme="1"/>
        <rFont val="Calibri"/>
        <family val="2"/>
        <scheme val="minor"/>
      </rPr>
      <t xml:space="preserve"> (mV/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</si>
  <si>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(S</t>
    </r>
    <r>
      <rPr>
        <b/>
        <vertAlign val="subscript"/>
        <sz val="11"/>
        <color theme="1"/>
        <rFont val="Calibri"/>
        <family val="2"/>
        <scheme val="minor"/>
      </rPr>
      <t>BASE @(T+10)</t>
    </r>
    <r>
      <rPr>
        <b/>
        <sz val="11"/>
        <color theme="1"/>
        <rFont val="Calibri"/>
        <family val="2"/>
        <scheme val="minor"/>
      </rPr>
      <t xml:space="preserve"> - S</t>
    </r>
    <r>
      <rPr>
        <b/>
        <vertAlign val="subscript"/>
        <sz val="11"/>
        <color theme="1"/>
        <rFont val="Calibri"/>
        <family val="2"/>
        <scheme val="minor"/>
      </rPr>
      <t>BASE @(T-10)</t>
    </r>
    <r>
      <rPr>
        <b/>
        <sz val="11"/>
        <color theme="1"/>
        <rFont val="Calibri"/>
        <family val="2"/>
        <scheme val="minor"/>
      </rPr>
      <t>) /  ∆T</t>
    </r>
    <r>
      <rPr>
        <b/>
        <vertAlign val="subscript"/>
        <sz val="11"/>
        <color theme="1"/>
        <rFont val="Calibri"/>
        <family val="2"/>
        <scheme val="minor"/>
      </rPr>
      <t>(T-10) to (T+10)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</si>
  <si>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(mV/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</si>
  <si>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 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</si>
  <si>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∆V</t>
    </r>
    <r>
      <rPr>
        <b/>
        <vertAlign val="subscript"/>
        <sz val="11"/>
        <color theme="1"/>
        <rFont val="Calibri"/>
        <family val="2"/>
        <scheme val="minor"/>
      </rPr>
      <t>RTD 10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(mV)</t>
    </r>
  </si>
  <si>
    <r>
      <t>∆V</t>
    </r>
    <r>
      <rPr>
        <b/>
        <vertAlign val="subscript"/>
        <sz val="11"/>
        <color theme="1"/>
        <rFont val="Calibri"/>
        <family val="2"/>
        <scheme val="minor"/>
      </rPr>
      <t>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(mV)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</si>
  <si>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BASE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RTD 10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 / ∆T</t>
    </r>
  </si>
  <si>
    <r>
      <t>Error</t>
    </r>
    <r>
      <rPr>
        <b/>
        <vertAlign val="subscript"/>
        <sz val="11"/>
        <color theme="1"/>
        <rFont val="Calibri"/>
        <family val="2"/>
        <scheme val="minor"/>
      </rPr>
      <t>T_calc @ 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(%)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</si>
  <si>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calc</t>
    </r>
    <r>
      <rPr>
        <b/>
        <sz val="11"/>
        <color theme="1"/>
        <rFont val="Calibri"/>
        <family val="2"/>
        <scheme val="minor"/>
      </rPr>
      <t xml:space="preserve"> @ S</t>
    </r>
    <r>
      <rPr>
        <b/>
        <vertAlign val="subscript"/>
        <sz val="11"/>
        <color theme="1"/>
        <rFont val="Calibri"/>
        <family val="2"/>
        <scheme val="minor"/>
      </rPr>
      <t>mid</t>
    </r>
  </si>
  <si>
    <r>
      <t>Temp</t>
    </r>
    <r>
      <rPr>
        <b/>
        <vertAlign val="subscript"/>
        <sz val="11"/>
        <color theme="1"/>
        <rFont val="Calibri"/>
        <family val="2"/>
        <scheme val="minor"/>
      </rPr>
      <t>Mid</t>
    </r>
  </si>
  <si>
    <r>
      <t xml:space="preserve">Sensitivity </t>
    </r>
    <r>
      <rPr>
        <b/>
        <vertAlign val="subscript"/>
        <sz val="11"/>
        <color theme="1"/>
        <rFont val="Calibri"/>
        <family val="2"/>
        <scheme val="minor"/>
      </rPr>
      <t>@Mid</t>
    </r>
  </si>
  <si>
    <t>Sensitivity for T = 20°C</t>
  </si>
  <si>
    <t>Sensitivity for T = Mid-Range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</si>
  <si>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Mid</t>
    </r>
  </si>
  <si>
    <r>
      <t>Temp</t>
    </r>
    <r>
      <rPr>
        <b/>
        <vertAlign val="subscript"/>
        <sz val="11"/>
        <color theme="1"/>
        <rFont val="Calibri"/>
        <family val="2"/>
        <scheme val="minor"/>
      </rPr>
      <t>ambient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</si>
  <si>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calc</t>
    </r>
    <r>
      <rPr>
        <b/>
        <sz val="11"/>
        <color theme="1"/>
        <rFont val="Calibri"/>
        <family val="2"/>
        <scheme val="minor"/>
      </rPr>
      <t xml:space="preserve"> for 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@ 20°C</t>
    </r>
  </si>
  <si>
    <r>
      <t>Error</t>
    </r>
    <r>
      <rPr>
        <b/>
        <vertAlign val="subscript"/>
        <sz val="11"/>
        <color theme="1"/>
        <rFont val="Calibri"/>
        <family val="2"/>
        <scheme val="minor"/>
      </rPr>
      <t>T_calc @ Mid</t>
    </r>
    <r>
      <rPr>
        <b/>
        <sz val="11"/>
        <color theme="1"/>
        <rFont val="Calibri"/>
        <family val="2"/>
        <scheme val="minor"/>
      </rPr>
      <t xml:space="preserve"> (%)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</si>
  <si>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LOW_adj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</si>
  <si>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HIGH_adj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</si>
  <si>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actual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</si>
  <si>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meas</t>
    </r>
  </si>
  <si>
    <t>% Error</t>
  </si>
  <si>
    <t>Measured Values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</si>
  <si>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</si>
  <si>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t>SOFTWARE SENSOR SETTING RESULTS HERE</t>
  </si>
  <si>
    <t>ENTER YOUR RTD VALUES HERE (BLUE FIELDS)</t>
  </si>
  <si>
    <r>
      <t>V</t>
    </r>
    <r>
      <rPr>
        <b/>
        <vertAlign val="subscript"/>
        <sz val="11"/>
        <color theme="0"/>
        <rFont val="Calibri"/>
        <family val="2"/>
        <scheme val="minor"/>
      </rPr>
      <t>EXC</t>
    </r>
  </si>
  <si>
    <r>
      <t>Temp</t>
    </r>
    <r>
      <rPr>
        <b/>
        <vertAlign val="subscript"/>
        <sz val="11"/>
        <color theme="0"/>
        <rFont val="Calibri"/>
        <family val="2"/>
        <scheme val="minor"/>
      </rPr>
      <t>Low</t>
    </r>
  </si>
  <si>
    <r>
      <t>Temp</t>
    </r>
    <r>
      <rPr>
        <b/>
        <vertAlign val="subscript"/>
        <sz val="11"/>
        <color theme="0"/>
        <rFont val="Calibri"/>
        <family val="2"/>
        <scheme val="minor"/>
      </rPr>
      <t>High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</si>
  <si>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@ 0</t>
    </r>
    <r>
      <rPr>
        <b/>
        <sz val="11"/>
        <color theme="0"/>
        <rFont val="Arial Narrow"/>
        <family val="2"/>
      </rPr>
      <t>°</t>
    </r>
    <r>
      <rPr>
        <b/>
        <sz val="11"/>
        <color theme="0"/>
        <rFont val="Calibri"/>
        <family val="2"/>
      </rPr>
      <t xml:space="preserve"> C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</si>
  <si>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Tolerance</t>
    </r>
  </si>
  <si>
    <t>∆T Information</t>
  </si>
  <si>
    <t>From RTD Table</t>
  </si>
  <si>
    <t>AMBIENT</t>
  </si>
  <si>
    <r>
      <t>0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</si>
  <si>
    <t>Remove Offset</t>
  </si>
  <si>
    <t>YES</t>
  </si>
  <si>
    <t>Check Offset</t>
  </si>
  <si>
    <t>Standard PT Values</t>
  </si>
  <si>
    <t>PT100</t>
  </si>
  <si>
    <t>PT500</t>
  </si>
  <si>
    <t>PT1000</t>
  </si>
  <si>
    <t>CUSTOM</t>
  </si>
  <si>
    <t>Custom</t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</si>
  <si>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Custom</t>
    </r>
  </si>
  <si>
    <r>
      <t>R</t>
    </r>
    <r>
      <rPr>
        <b/>
        <vertAlign val="subscript"/>
        <sz val="11"/>
        <rFont val="Calibri"/>
        <family val="2"/>
        <scheme val="minor"/>
      </rPr>
      <t>coeff</t>
    </r>
  </si>
  <si>
    <t>Standard Temperature Coefficient</t>
  </si>
  <si>
    <t>Bridge Mode</t>
  </si>
  <si>
    <t>Proportional</t>
  </si>
  <si>
    <t>NO</t>
  </si>
  <si>
    <t>Zero Method</t>
  </si>
  <si>
    <t>Absolute Zero</t>
  </si>
  <si>
    <t>Other Sensor Settings</t>
  </si>
  <si>
    <t>CONNECTION DIAGRAM</t>
  </si>
  <si>
    <t>Full Bridge</t>
  </si>
  <si>
    <t>Desired Range/Capacity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</si>
  <si>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MID_adj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</si>
  <si>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2_0.5mA_calc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</si>
  <si>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1_0.5mA_calc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</si>
  <si>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2_des_std_value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</si>
  <si>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1_des_std_value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</si>
</sst>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 Narrow"/>
      <family val="2"/>
    </font>
    <font>
      <b/>
      <vertAlign val="subscript"/>
      <sz val="11"/>
      <color theme="1"/>
      <name val="Arial Narrow"/>
      <family val="2"/>
    </font>
    <font>
      <b/>
      <vertAlign val="subscript"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7" fillId="0" borderId="0" xfId="0" applyFont="1"/>
    <xf numFmtId="165" fontId="0" fillId="0" borderId="23" xfId="0" applyNumberFormat="1" applyBorder="1"/>
    <xf numFmtId="165" fontId="0" fillId="0" borderId="30" xfId="0" applyNumberFormat="1" applyBorder="1"/>
    <xf numFmtId="165" fontId="0" fillId="0" borderId="25" xfId="0" applyNumberFormat="1" applyBorder="1"/>
    <xf numFmtId="165" fontId="0" fillId="0" borderId="25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6" fillId="0" borderId="0" xfId="0" applyFont="1"/>
    <xf numFmtId="0" fontId="1" fillId="0" borderId="0" xfId="0" quotePrefix="1" applyFont="1"/>
    <xf numFmtId="1" fontId="0" fillId="0" borderId="0" xfId="0" applyNumberFormat="1"/>
    <xf numFmtId="0" fontId="1" fillId="0" borderId="38" xfId="0" applyFont="1" applyBorder="1"/>
    <xf numFmtId="0" fontId="6" fillId="0" borderId="47" xfId="0" applyFont="1" applyBorder="1"/>
    <xf numFmtId="0" fontId="0" fillId="0" borderId="38" xfId="0" applyBorder="1"/>
    <xf numFmtId="0" fontId="0" fillId="0" borderId="47" xfId="0" applyBorder="1"/>
    <xf numFmtId="0" fontId="1" fillId="0" borderId="45" xfId="0" applyFont="1" applyBorder="1"/>
    <xf numFmtId="0" fontId="1" fillId="0" borderId="46" xfId="0" applyFont="1" applyBorder="1"/>
    <xf numFmtId="0" fontId="0" fillId="0" borderId="46" xfId="0" applyBorder="1"/>
    <xf numFmtId="1" fontId="0" fillId="0" borderId="46" xfId="0" applyNumberFormat="1" applyBorder="1"/>
    <xf numFmtId="0" fontId="6" fillId="0" borderId="46" xfId="0" applyFont="1" applyBorder="1"/>
    <xf numFmtId="0" fontId="0" fillId="0" borderId="20" xfId="0" applyBorder="1"/>
    <xf numFmtId="0" fontId="1" fillId="0" borderId="38" xfId="0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0" fillId="0" borderId="45" xfId="0" applyBorder="1"/>
    <xf numFmtId="165" fontId="0" fillId="0" borderId="23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6" xfId="0" applyNumberFormat="1" applyBorder="1"/>
    <xf numFmtId="165" fontId="0" fillId="0" borderId="28" xfId="0" applyNumberFormat="1" applyBorder="1"/>
    <xf numFmtId="165" fontId="0" fillId="0" borderId="30" xfId="0" applyNumberFormat="1" applyBorder="1" applyAlignment="1">
      <alignment horizontal="center" vertical="center"/>
    </xf>
    <xf numFmtId="165" fontId="0" fillId="0" borderId="31" xfId="0" applyNumberFormat="1" applyBorder="1"/>
    <xf numFmtId="0" fontId="0" fillId="0" borderId="23" xfId="0" applyBorder="1" applyProtection="1">
      <protection locked="0"/>
    </xf>
    <xf numFmtId="2" fontId="0" fillId="7" borderId="27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 vertical="center"/>
    </xf>
    <xf numFmtId="165" fontId="0" fillId="7" borderId="23" xfId="0" applyNumberFormat="1" applyFill="1" applyBorder="1"/>
    <xf numFmtId="165" fontId="0" fillId="7" borderId="28" xfId="0" applyNumberFormat="1" applyFill="1" applyBorder="1"/>
    <xf numFmtId="2" fontId="0" fillId="9" borderId="27" xfId="0" applyNumberForma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 vertical="center"/>
    </xf>
    <xf numFmtId="165" fontId="0" fillId="9" borderId="23" xfId="0" applyNumberFormat="1" applyFill="1" applyBorder="1"/>
    <xf numFmtId="165" fontId="0" fillId="9" borderId="28" xfId="0" applyNumberFormat="1" applyFill="1" applyBorder="1"/>
    <xf numFmtId="1" fontId="0" fillId="0" borderId="23" xfId="0" applyNumberFormat="1" applyBorder="1" applyProtection="1">
      <protection locked="0"/>
    </xf>
    <xf numFmtId="0" fontId="12" fillId="8" borderId="27" xfId="0" applyFont="1" applyFill="1" applyBorder="1"/>
    <xf numFmtId="0" fontId="0" fillId="0" borderId="23" xfId="0" applyBorder="1"/>
    <xf numFmtId="0" fontId="6" fillId="0" borderId="23" xfId="0" applyFont="1" applyBorder="1" applyAlignment="1">
      <alignment horizontal="center"/>
    </xf>
    <xf numFmtId="0" fontId="12" fillId="8" borderId="23" xfId="0" applyFont="1" applyFill="1" applyBorder="1"/>
    <xf numFmtId="0" fontId="1" fillId="6" borderId="23" xfId="0" applyFont="1" applyFill="1" applyBorder="1"/>
    <xf numFmtId="0" fontId="6" fillId="0" borderId="28" xfId="0" applyFont="1" applyBorder="1" applyAlignment="1">
      <alignment horizontal="center"/>
    </xf>
    <xf numFmtId="0" fontId="18" fillId="0" borderId="0" xfId="0" applyFont="1"/>
    <xf numFmtId="0" fontId="8" fillId="0" borderId="23" xfId="0" applyFont="1" applyBorder="1" applyAlignment="1">
      <alignment horizontal="center"/>
    </xf>
    <xf numFmtId="0" fontId="0" fillId="0" borderId="0" xfId="0" quotePrefix="1"/>
    <xf numFmtId="0" fontId="1" fillId="6" borderId="27" xfId="0" applyFont="1" applyFill="1" applyBorder="1" applyAlignment="1">
      <alignment horizontal="right"/>
    </xf>
    <xf numFmtId="1" fontId="0" fillId="0" borderId="23" xfId="0" applyNumberFormat="1" applyBorder="1"/>
    <xf numFmtId="0" fontId="19" fillId="2" borderId="29" xfId="0" applyFont="1" applyFill="1" applyBorder="1" applyAlignment="1">
      <alignment horizontal="center"/>
    </xf>
    <xf numFmtId="16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56" xfId="0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5" xfId="0" quotePrefix="1" applyFont="1" applyFill="1" applyBorder="1" applyAlignment="1">
      <alignment horizontal="center" vertical="center"/>
    </xf>
    <xf numFmtId="0" fontId="1" fillId="2" borderId="17" xfId="0" quotePrefix="1" applyFont="1" applyFill="1" applyBorder="1" applyAlignment="1">
      <alignment horizontal="center" vertical="center"/>
    </xf>
    <xf numFmtId="2" fontId="0" fillId="0" borderId="0" xfId="0" applyNumberFormat="1"/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23" xfId="0" quotePrefix="1" applyBorder="1" applyProtection="1">
      <protection locked="0"/>
    </xf>
    <xf numFmtId="0" fontId="14" fillId="5" borderId="21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6" fillId="0" borderId="49" xfId="0" applyFont="1" applyBorder="1" applyAlignment="1">
      <alignment horizontal="left" indent="1"/>
    </xf>
    <xf numFmtId="0" fontId="6" fillId="0" borderId="24" xfId="0" applyFont="1" applyBorder="1" applyAlignment="1">
      <alignment horizontal="left" indent="1"/>
    </xf>
    <xf numFmtId="0" fontId="6" fillId="0" borderId="42" xfId="0" applyFont="1" applyBorder="1" applyAlignment="1">
      <alignment horizontal="left" indent="1"/>
    </xf>
    <xf numFmtId="0" fontId="6" fillId="0" borderId="43" xfId="0" applyFont="1" applyBorder="1" applyAlignment="1">
      <alignment horizontal="left" indent="1"/>
    </xf>
    <xf numFmtId="0" fontId="13" fillId="3" borderId="0" xfId="0" applyFont="1" applyFill="1" applyAlignment="1">
      <alignment horizontal="center"/>
    </xf>
    <xf numFmtId="0" fontId="8" fillId="0" borderId="57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2" fontId="0" fillId="0" borderId="24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165" fontId="0" fillId="0" borderId="2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9" borderId="23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165" fontId="0" fillId="0" borderId="25" xfId="0" applyNumberForma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40" xfId="0" applyFont="1" applyFill="1" applyBorder="1" applyAlignment="1" applyProtection="1">
      <alignment horizontal="center"/>
    </xf>
    <xf numFmtId="0" fontId="13" fillId="4" borderId="32" xfId="0" applyFont="1" applyFill="1" applyBorder="1" applyAlignment="1" applyProtection="1">
      <alignment horizontal="center"/>
    </xf>
    <xf numFmtId="0" fontId="13" fillId="4" borderId="33" xfId="0" applyFont="1" applyFill="1" applyBorder="1" applyAlignment="1" applyProtection="1">
      <alignment horizontal="center"/>
    </xf>
    <xf numFmtId="0" fontId="21" fillId="11" borderId="10" xfId="0" applyFont="1" applyFill="1" applyBorder="1" applyAlignment="1" applyProtection="1">
      <alignment horizontal="center"/>
    </xf>
    <xf numFmtId="0" fontId="21" fillId="11" borderId="11" xfId="0" applyFont="1" applyFill="1" applyBorder="1" applyAlignment="1" applyProtection="1">
      <alignment horizontal="center"/>
    </xf>
    <xf numFmtId="0" fontId="21" fillId="11" borderId="12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12" fillId="3" borderId="53" xfId="0" applyFont="1" applyFill="1" applyBorder="1" applyAlignment="1" applyProtection="1">
      <alignment horizontal="center"/>
    </xf>
    <xf numFmtId="0" fontId="12" fillId="3" borderId="6" xfId="0" applyFont="1" applyFill="1" applyBorder="1" applyProtection="1"/>
    <xf numFmtId="0" fontId="12" fillId="3" borderId="8" xfId="0" applyFont="1" applyFill="1" applyBorder="1" applyAlignment="1" applyProtection="1">
      <alignment horizontal="center"/>
    </xf>
    <xf numFmtId="0" fontId="12" fillId="3" borderId="7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0" fontId="1" fillId="6" borderId="35" xfId="0" applyFont="1" applyFill="1" applyBorder="1" applyAlignment="1" applyProtection="1">
      <alignment horizontal="center"/>
    </xf>
    <xf numFmtId="0" fontId="0" fillId="0" borderId="35" xfId="0" applyBorder="1" applyProtection="1"/>
    <xf numFmtId="0" fontId="8" fillId="0" borderId="35" xfId="0" applyFont="1" applyBorder="1" applyAlignment="1" applyProtection="1">
      <alignment horizontal="center"/>
    </xf>
    <xf numFmtId="0" fontId="12" fillId="4" borderId="44" xfId="0" applyFont="1" applyFill="1" applyBorder="1" applyProtection="1"/>
    <xf numFmtId="0" fontId="1" fillId="6" borderId="4" xfId="0" applyFont="1" applyFill="1" applyBorder="1" applyAlignment="1" applyProtection="1">
      <alignment horizontal="center"/>
    </xf>
    <xf numFmtId="0" fontId="8" fillId="0" borderId="36" xfId="0" applyFont="1" applyBorder="1" applyAlignment="1" applyProtection="1">
      <alignment horizontal="center"/>
    </xf>
    <xf numFmtId="0" fontId="1" fillId="6" borderId="27" xfId="0" applyFont="1" applyFill="1" applyBorder="1" applyAlignment="1" applyProtection="1">
      <alignment horizontal="center"/>
    </xf>
    <xf numFmtId="0" fontId="1" fillId="6" borderId="23" xfId="0" applyFont="1" applyFill="1" applyBorder="1" applyAlignment="1" applyProtection="1">
      <alignment horizontal="center"/>
    </xf>
    <xf numFmtId="0" fontId="0" fillId="0" borderId="23" xfId="0" applyBorder="1" applyProtection="1"/>
    <xf numFmtId="0" fontId="6" fillId="0" borderId="23" xfId="0" applyFont="1" applyBorder="1" applyAlignment="1" applyProtection="1">
      <alignment horizontal="center"/>
    </xf>
    <xf numFmtId="0" fontId="1" fillId="6" borderId="24" xfId="0" applyFont="1" applyFill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1" fillId="10" borderId="27" xfId="0" applyFont="1" applyFill="1" applyBorder="1" applyAlignment="1" applyProtection="1">
      <alignment horizontal="center"/>
    </xf>
    <xf numFmtId="0" fontId="1" fillId="10" borderId="23" xfId="0" applyFont="1" applyFill="1" applyBorder="1" applyAlignment="1" applyProtection="1">
      <alignment horizontal="center"/>
    </xf>
    <xf numFmtId="0" fontId="1" fillId="10" borderId="24" xfId="0" applyFont="1" applyFill="1" applyBorder="1" applyAlignment="1" applyProtection="1">
      <alignment horizontal="center"/>
    </xf>
    <xf numFmtId="165" fontId="0" fillId="0" borderId="23" xfId="0" applyNumberFormat="1" applyBorder="1" applyProtection="1"/>
    <xf numFmtId="0" fontId="8" fillId="0" borderId="23" xfId="0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/>
    </xf>
    <xf numFmtId="0" fontId="1" fillId="10" borderId="50" xfId="0" applyFont="1" applyFill="1" applyBorder="1" applyAlignment="1" applyProtection="1">
      <alignment horizontal="center"/>
    </xf>
    <xf numFmtId="0" fontId="1" fillId="10" borderId="51" xfId="0" applyFont="1" applyFill="1" applyBorder="1" applyAlignment="1" applyProtection="1">
      <alignment horizontal="center"/>
    </xf>
    <xf numFmtId="0" fontId="0" fillId="0" borderId="51" xfId="0" applyBorder="1" applyProtection="1"/>
    <xf numFmtId="0" fontId="1" fillId="10" borderId="55" xfId="0" applyFont="1" applyFill="1" applyBorder="1" applyAlignment="1" applyProtection="1">
      <alignment horizontal="center"/>
    </xf>
    <xf numFmtId="0" fontId="12" fillId="3" borderId="10" xfId="0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8" fillId="0" borderId="48" xfId="0" applyFont="1" applyBorder="1" applyAlignment="1" applyProtection="1">
      <alignment horizontal="center"/>
    </xf>
    <xf numFmtId="0" fontId="8" fillId="0" borderId="49" xfId="0" applyFont="1" applyBorder="1" applyAlignment="1" applyProtection="1">
      <alignment horizontal="center"/>
    </xf>
    <xf numFmtId="0" fontId="1" fillId="6" borderId="27" xfId="0" applyFont="1" applyFill="1" applyBorder="1" applyAlignment="1" applyProtection="1">
      <alignment horizontal="center"/>
    </xf>
    <xf numFmtId="0" fontId="1" fillId="6" borderId="23" xfId="0" applyFont="1" applyFill="1" applyBorder="1" applyAlignment="1" applyProtection="1">
      <alignment horizontal="center"/>
    </xf>
    <xf numFmtId="0" fontId="4" fillId="6" borderId="49" xfId="0" applyFont="1" applyFill="1" applyBorder="1" applyAlignment="1" applyProtection="1">
      <alignment horizontal="center"/>
    </xf>
    <xf numFmtId="0" fontId="1" fillId="6" borderId="24" xfId="0" applyFont="1" applyFill="1" applyBorder="1" applyAlignment="1" applyProtection="1">
      <alignment horizontal="center"/>
    </xf>
    <xf numFmtId="0" fontId="4" fillId="6" borderId="28" xfId="0" applyFont="1" applyFill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2" fontId="0" fillId="0" borderId="49" xfId="0" applyNumberFormat="1" applyBorder="1" applyProtection="1"/>
    <xf numFmtId="0" fontId="0" fillId="0" borderId="28" xfId="0" applyBorder="1" applyProtection="1"/>
    <xf numFmtId="0" fontId="1" fillId="6" borderId="29" xfId="0" applyFont="1" applyFill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0" fillId="0" borderId="30" xfId="0" applyBorder="1" applyProtection="1"/>
    <xf numFmtId="2" fontId="0" fillId="0" borderId="54" xfId="0" applyNumberFormat="1" applyBorder="1" applyProtection="1"/>
    <xf numFmtId="0" fontId="12" fillId="4" borderId="56" xfId="0" applyFont="1" applyFill="1" applyBorder="1" applyProtection="1"/>
    <xf numFmtId="0" fontId="1" fillId="6" borderId="34" xfId="0" applyFont="1" applyFill="1" applyBorder="1" applyAlignment="1" applyProtection="1">
      <alignment horizontal="center"/>
    </xf>
    <xf numFmtId="0" fontId="0" fillId="0" borderId="31" xfId="0" applyBorder="1" applyProtection="1"/>
    <xf numFmtId="0" fontId="1" fillId="10" borderId="13" xfId="0" applyFont="1" applyFill="1" applyBorder="1" applyAlignment="1" applyProtection="1">
      <alignment horizontal="center"/>
    </xf>
    <xf numFmtId="0" fontId="1" fillId="10" borderId="4" xfId="0" applyFont="1" applyFill="1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2" fillId="6" borderId="44" xfId="0" applyFont="1" applyFill="1" applyBorder="1" applyProtection="1"/>
    <xf numFmtId="0" fontId="1" fillId="10" borderId="48" xfId="0" applyFont="1" applyFill="1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" fillId="10" borderId="29" xfId="0" applyFont="1" applyFill="1" applyBorder="1" applyAlignment="1" applyProtection="1">
      <alignment horizontal="center"/>
    </xf>
    <xf numFmtId="0" fontId="1" fillId="10" borderId="30" xfId="0" applyFont="1" applyFill="1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2" fillId="6" borderId="56" xfId="0" applyFont="1" applyFill="1" applyBorder="1" applyProtection="1"/>
    <xf numFmtId="0" fontId="1" fillId="6" borderId="30" xfId="0" applyFont="1" applyFill="1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A8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Temperature at Sensitivity</a:t>
            </a:r>
            <a:endParaRPr lang="en-US" sz="1800" b="1" baseline="-25000">
              <a:latin typeface="Arial Narrow" panose="020B0606020202030204" pitchFamily="34" charset="0"/>
            </a:endParaRPr>
          </a:p>
          <a:p>
            <a:pPr>
              <a:defRPr sz="1800" b="1"/>
            </a:pPr>
            <a:r>
              <a:rPr lang="en-US" sz="1800" b="1"/>
              <a:t>R = R</a:t>
            </a:r>
            <a:r>
              <a:rPr lang="en-US" sz="1800" b="1" baseline="-25000"/>
              <a:t>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Linear Temperature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B-4ADC-9B7F-6046D9C336D1}"/>
            </c:ext>
          </c:extLst>
        </c:ser>
        <c:ser>
          <c:idx val="1"/>
          <c:order val="1"/>
          <c:tx>
            <c:v>Sensitivity @ 20C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Tables'!$L$12:$L$64</c:f>
              <c:numCache>
                <c:formatCode>0.00000</c:formatCode>
                <c:ptCount val="53"/>
                <c:pt idx="0">
                  <c:v>-211.76148844880942</c:v>
                </c:pt>
                <c:pt idx="1">
                  <c:v>-200.47382010816776</c:v>
                </c:pt>
                <c:pt idx="2">
                  <c:v>-189.30047871548012</c:v>
                </c:pt>
                <c:pt idx="3">
                  <c:v>-178.21505076148668</c:v>
                </c:pt>
                <c:pt idx="4">
                  <c:v>-167.24343733133799</c:v>
                </c:pt>
                <c:pt idx="5">
                  <c:v>-156.33318390780528</c:v>
                </c:pt>
                <c:pt idx="6">
                  <c:v>-145.48414870607149</c:v>
                </c:pt>
                <c:pt idx="7">
                  <c:v>-134.74828527683789</c:v>
                </c:pt>
                <c:pt idx="8">
                  <c:v>-124.04724824594661</c:v>
                </c:pt>
                <c:pt idx="9">
                  <c:v>-113.4329725387005</c:v>
                </c:pt>
                <c:pt idx="10">
                  <c:v>-102.85328995577774</c:v>
                </c:pt>
                <c:pt idx="11">
                  <c:v>-92.360052755936081</c:v>
                </c:pt>
                <c:pt idx="12">
                  <c:v>-81.901178670225164</c:v>
                </c:pt>
                <c:pt idx="13">
                  <c:v>-71.528438303203529</c:v>
                </c:pt>
                <c:pt idx="14">
                  <c:v>-61.163933268186319</c:v>
                </c:pt>
                <c:pt idx="15">
                  <c:v>-50.85941471425712</c:v>
                </c:pt>
                <c:pt idx="16">
                  <c:v>-40.614750305639838</c:v>
                </c:pt>
                <c:pt idx="17">
                  <c:v>-30.40396864255548</c:v>
                </c:pt>
                <c:pt idx="18">
                  <c:v>-20.226999587988406</c:v>
                </c:pt>
                <c:pt idx="19">
                  <c:v>-10.083773315490518</c:v>
                </c:pt>
                <c:pt idx="20">
                  <c:v>0</c:v>
                </c:pt>
                <c:pt idx="21">
                  <c:v>10.050209105852701</c:v>
                </c:pt>
                <c:pt idx="22">
                  <c:v>20.066922682513567</c:v>
                </c:pt>
                <c:pt idx="23">
                  <c:v>30.050209105852698</c:v>
                </c:pt>
                <c:pt idx="24">
                  <c:v>40.000136448425451</c:v>
                </c:pt>
                <c:pt idx="25">
                  <c:v>49.91677248072692</c:v>
                </c:pt>
                <c:pt idx="26">
                  <c:v>59.774523209673823</c:v>
                </c:pt>
                <c:pt idx="27">
                  <c:v>69.624798187901121</c:v>
                </c:pt>
                <c:pt idx="28">
                  <c:v>79.416360622652405</c:v>
                </c:pt>
                <c:pt idx="29">
                  <c:v>89.174938334018691</c:v>
                </c:pt>
                <c:pt idx="30">
                  <c:v>98.900597384243852</c:v>
                </c:pt>
                <c:pt idx="31">
                  <c:v>108.56783838686994</c:v>
                </c:pt>
                <c:pt idx="32">
                  <c:v>118.22787617268594</c:v>
                </c:pt>
                <c:pt idx="33">
                  <c:v>127.82966446824322</c:v>
                </c:pt>
                <c:pt idx="34">
                  <c:v>137.3988331083074</c:v>
                </c:pt>
                <c:pt idx="35">
                  <c:v>146.9609360367329</c:v>
                </c:pt>
                <c:pt idx="36">
                  <c:v>156.4395687012298</c:v>
                </c:pt>
                <c:pt idx="37">
                  <c:v>165.91126357696959</c:v>
                </c:pt>
                <c:pt idx="38">
                  <c:v>175.35059464529101</c:v>
                </c:pt>
                <c:pt idx="39">
                  <c:v>184.73220997209978</c:v>
                </c:pt>
                <c:pt idx="40">
                  <c:v>194.10702132154327</c:v>
                </c:pt>
                <c:pt idx="41">
                  <c:v>203.42427925079573</c:v>
                </c:pt>
                <c:pt idx="42">
                  <c:v>212.70946114041877</c:v>
                </c:pt>
                <c:pt idx="43">
                  <c:v>221.96262890857057</c:v>
                </c:pt>
                <c:pt idx="44">
                  <c:v>231.15852021105351</c:v>
                </c:pt>
                <c:pt idx="45">
                  <c:v>240.34786241446372</c:v>
                </c:pt>
                <c:pt idx="46">
                  <c:v>249.48008648285796</c:v>
                </c:pt>
                <c:pt idx="47">
                  <c:v>258.58057701087012</c:v>
                </c:pt>
                <c:pt idx="48">
                  <c:v>267.64939433588256</c:v>
                </c:pt>
                <c:pt idx="49">
                  <c:v>276.68659852412605</c:v>
                </c:pt>
                <c:pt idx="50">
                  <c:v>285.69224937174488</c:v>
                </c:pt>
                <c:pt idx="51">
                  <c:v>294.66640640585507</c:v>
                </c:pt>
                <c:pt idx="52">
                  <c:v>303.58394684434393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B-4ADC-9B7F-6046D9C336D1}"/>
            </c:ext>
          </c:extLst>
        </c:ser>
        <c:ser>
          <c:idx val="2"/>
          <c:order val="2"/>
          <c:tx>
            <c:v>Sensitivity @ Mid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Tables'!$N$12:$N$64</c:f>
              <c:numCache>
                <c:formatCode>0.00000</c:formatCode>
                <c:ptCount val="53"/>
                <c:pt idx="0">
                  <c:v>-233.91277680055012</c:v>
                </c:pt>
                <c:pt idx="1">
                  <c:v>-221.44436309367626</c:v>
                </c:pt>
                <c:pt idx="2">
                  <c:v>-209.10223549319005</c:v>
                </c:pt>
                <c:pt idx="3">
                  <c:v>-196.8572175074581</c:v>
                </c:pt>
                <c:pt idx="4">
                  <c:v>-184.73791960193415</c:v>
                </c:pt>
                <c:pt idx="5">
                  <c:v>-172.68640026010078</c:v>
                </c:pt>
                <c:pt idx="6">
                  <c:v>-160.70250286575504</c:v>
                </c:pt>
                <c:pt idx="7">
                  <c:v>-148.84361556533557</c:v>
                </c:pt>
                <c:pt idx="8">
                  <c:v>-137.02319767501464</c:v>
                </c:pt>
                <c:pt idx="9">
                  <c:v>-125.29861676752472</c:v>
                </c:pt>
                <c:pt idx="10">
                  <c:v>-113.61224759451001</c:v>
                </c:pt>
                <c:pt idx="11">
                  <c:v>-102.02136641483254</c:v>
                </c:pt>
                <c:pt idx="12">
                  <c:v>-90.468442899245531</c:v>
                </c:pt>
                <c:pt idx="13">
                  <c:v>-79.010663110982861</c:v>
                </c:pt>
                <c:pt idx="14">
                  <c:v>-67.561980110767621</c:v>
                </c:pt>
                <c:pt idx="15">
                  <c:v>-56.179558471220822</c:v>
                </c:pt>
                <c:pt idx="16">
                  <c:v>-44.863252013596338</c:v>
                </c:pt>
                <c:pt idx="17">
                  <c:v>-33.584372602557565</c:v>
                </c:pt>
                <c:pt idx="18">
                  <c:v>-22.342842764413675</c:v>
                </c:pt>
                <c:pt idx="19">
                  <c:v>-11.138585368528272</c:v>
                </c:pt>
                <c:pt idx="20">
                  <c:v>0</c:v>
                </c:pt>
                <c:pt idx="21">
                  <c:v>11.101510178251662</c:v>
                </c:pt>
                <c:pt idx="22">
                  <c:v>22.166021030983568</c:v>
                </c:pt>
                <c:pt idx="23">
                  <c:v>33.193608086516555</c:v>
                </c:pt>
                <c:pt idx="24">
                  <c:v>44.184346538128509</c:v>
                </c:pt>
                <c:pt idx="25">
                  <c:v>55.138311245440086</c:v>
                </c:pt>
                <c:pt idx="26">
                  <c:v>66.02723095839832</c:v>
                </c:pt>
                <c:pt idx="27">
                  <c:v>76.907892920514797</c:v>
                </c:pt>
                <c:pt idx="28">
                  <c:v>87.723700719685482</c:v>
                </c:pt>
                <c:pt idx="29">
                  <c:v>98.503073431931256</c:v>
                </c:pt>
                <c:pt idx="30">
                  <c:v>109.2460840299301</c:v>
                </c:pt>
                <c:pt idx="31">
                  <c:v>119.92456576657051</c:v>
                </c:pt>
                <c:pt idx="32">
                  <c:v>130.5950907946598</c:v>
                </c:pt>
                <c:pt idx="33">
                  <c:v>141.20127315065398</c:v>
                </c:pt>
                <c:pt idx="34">
                  <c:v>151.77142367550374</c:v>
                </c:pt>
                <c:pt idx="35">
                  <c:v>162.3337693806879</c:v>
                </c:pt>
                <c:pt idx="36">
                  <c:v>172.80391342371504</c:v>
                </c:pt>
                <c:pt idx="37">
                  <c:v>183.26639395131775</c:v>
                </c:pt>
                <c:pt idx="38">
                  <c:v>193.69312525881193</c:v>
                </c:pt>
                <c:pt idx="39">
                  <c:v>204.05610347568884</c:v>
                </c:pt>
                <c:pt idx="40">
                  <c:v>214.41156598585977</c:v>
                </c:pt>
                <c:pt idx="41">
                  <c:v>224.7034547063399</c:v>
                </c:pt>
                <c:pt idx="42">
                  <c:v>234.95991207641993</c:v>
                </c:pt>
                <c:pt idx="43">
                  <c:v>245.18100649120043</c:v>
                </c:pt>
                <c:pt idx="44">
                  <c:v>255.33883304161117</c:v>
                </c:pt>
                <c:pt idx="45">
                  <c:v>265.4894254251256</c:v>
                </c:pt>
                <c:pt idx="46">
                  <c:v>275.57692483708456</c:v>
                </c:pt>
                <c:pt idx="47">
                  <c:v>285.62937122498863</c:v>
                </c:pt>
                <c:pt idx="48">
                  <c:v>295.64683123780583</c:v>
                </c:pt>
                <c:pt idx="49">
                  <c:v>305.62937122498863</c:v>
                </c:pt>
                <c:pt idx="50">
                  <c:v>315.57705723765088</c:v>
                </c:pt>
                <c:pt idx="51">
                  <c:v>325.48995502973622</c:v>
                </c:pt>
                <c:pt idx="52">
                  <c:v>335.34031385313659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F-4F54-93C7-774CB5488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63312"/>
        <c:axId val="545261016"/>
      </c:lineChart>
      <c:catAx>
        <c:axId val="54526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1016"/>
        <c:crosses val="autoZero"/>
        <c:auto val="1"/>
        <c:lblAlgn val="ctr"/>
        <c:lblOffset val="100"/>
        <c:noMultiLvlLbl val="0"/>
      </c:catAx>
      <c:valAx>
        <c:axId val="545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</a:t>
                </a:r>
                <a:r>
                  <a:rPr lang="en-US" sz="1400" b="1" baseline="-25000"/>
                  <a:t>RTD</a:t>
                </a:r>
                <a:r>
                  <a:rPr lang="en-US" sz="1400" b="1"/>
                  <a:t>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3312"/>
        <c:crosses val="autoZero"/>
        <c:crossBetween val="between"/>
        <c:majorUnit val="20"/>
        <c:minorUnit val="10"/>
      </c:valAx>
      <c:spPr>
        <a:solidFill>
          <a:schemeClr val="bg1"/>
        </a:solidFill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RTD Voltage at Temperature</a:t>
            </a:r>
          </a:p>
          <a:p>
            <a:pPr>
              <a:defRPr sz="1800" b="1"/>
            </a:pPr>
            <a:r>
              <a:rPr lang="en-US" sz="1800" b="1"/>
              <a:t>R = R</a:t>
            </a:r>
            <a:r>
              <a:rPr lang="en-US" sz="1800" b="1" baseline="-25000"/>
              <a:t>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v>V_RTD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Tables'!$E$12:$E$64</c:f>
              <c:numCache>
                <c:formatCode>0.00000</c:formatCode>
                <c:ptCount val="53"/>
                <c:pt idx="0">
                  <c:v>9.2428821821985672</c:v>
                </c:pt>
                <c:pt idx="1">
                  <c:v>11.388998915475968</c:v>
                </c:pt>
                <c:pt idx="2">
                  <c:v>13.51337874360483</c:v>
                </c:pt>
                <c:pt idx="3">
                  <c:v>15.621043649203397</c:v>
                </c:pt>
                <c:pt idx="4">
                  <c:v>17.707069076502108</c:v>
                </c:pt>
                <c:pt idx="5">
                  <c:v>19.781428167319408</c:v>
                </c:pt>
                <c:pt idx="6">
                  <c:v>21.844147879106483</c:v>
                </c:pt>
                <c:pt idx="7">
                  <c:v>23.885350318471335</c:v>
                </c:pt>
                <c:pt idx="8">
                  <c:v>25.919931238317126</c:v>
                </c:pt>
                <c:pt idx="9">
                  <c:v>27.938016286486231</c:v>
                </c:pt>
                <c:pt idx="10">
                  <c:v>29.949524167367439</c:v>
                </c:pt>
                <c:pt idx="11">
                  <c:v>31.944596246137337</c:v>
                </c:pt>
                <c:pt idx="12">
                  <c:v>33.933134889301407</c:v>
                </c:pt>
                <c:pt idx="13">
                  <c:v>35.905296986893802</c:v>
                </c:pt>
                <c:pt idx="14">
                  <c:v>37.875893306392314</c:v>
                </c:pt>
                <c:pt idx="15">
                  <c:v>39.835084436887364</c:v>
                </c:pt>
                <c:pt idx="16">
                  <c:v>41.782895539290394</c:v>
                </c:pt>
                <c:pt idx="17">
                  <c:v>43.724264538243609</c:v>
                </c:pt>
                <c:pt idx="18">
                  <c:v>45.659204768850273</c:v>
                </c:pt>
                <c:pt idx="19">
                  <c:v>47.587729507165648</c:v>
                </c:pt>
                <c:pt idx="20">
                  <c:v>49.504950495049506</c:v>
                </c:pt>
                <c:pt idx="21">
                  <c:v>51.415789942497454</c:v>
                </c:pt>
                <c:pt idx="22">
                  <c:v>53.32026090767615</c:v>
                </c:pt>
                <c:pt idx="23">
                  <c:v>55.218376390843446</c:v>
                </c:pt>
                <c:pt idx="24">
                  <c:v>57.110149334588165</c:v>
                </c:pt>
                <c:pt idx="25">
                  <c:v>58.995592624068621</c:v>
                </c:pt>
                <c:pt idx="26">
                  <c:v>60.869840090721937</c:v>
                </c:pt>
                <c:pt idx="27">
                  <c:v>62.742666197956375</c:v>
                </c:pt>
                <c:pt idx="28">
                  <c:v>64.604329329082319</c:v>
                </c:pt>
                <c:pt idx="29">
                  <c:v>66.459721097100953</c:v>
                </c:pt>
                <c:pt idx="30">
                  <c:v>68.30885406238194</c:v>
                </c:pt>
                <c:pt idx="31">
                  <c:v>70.146880043855973</c:v>
                </c:pt>
                <c:pt idx="32">
                  <c:v>71.98353648259868</c:v>
                </c:pt>
                <c:pt idx="33">
                  <c:v>73.809117985227346</c:v>
                </c:pt>
                <c:pt idx="34">
                  <c:v>75.628497534859619</c:v>
                </c:pt>
                <c:pt idx="35">
                  <c:v>77.446533685525637</c:v>
                </c:pt>
                <c:pt idx="36">
                  <c:v>79.248699691468914</c:v>
                </c:pt>
                <c:pt idx="37">
                  <c:v>81.049546620336727</c:v>
                </c:pt>
                <c:pt idx="38">
                  <c:v>82.844240240429244</c:v>
                </c:pt>
                <c:pt idx="39">
                  <c:v>84.627960405695148</c:v>
                </c:pt>
                <c:pt idx="40">
                  <c:v>86.41038693535485</c:v>
                </c:pt>
                <c:pt idx="41">
                  <c:v>88.181870872230832</c:v>
                </c:pt>
                <c:pt idx="42">
                  <c:v>89.947256213426243</c:v>
                </c:pt>
                <c:pt idx="43">
                  <c:v>91.706554731398541</c:v>
                </c:pt>
                <c:pt idx="44">
                  <c:v>93.454963313762761</c:v>
                </c:pt>
                <c:pt idx="45">
                  <c:v>95.202126720357839</c:v>
                </c:pt>
                <c:pt idx="46">
                  <c:v>96.93843029464459</c:v>
                </c:pt>
                <c:pt idx="47">
                  <c:v>98.668700392400595</c:v>
                </c:pt>
                <c:pt idx="48">
                  <c:v>100.39294848553148</c:v>
                </c:pt>
                <c:pt idx="49">
                  <c:v>102.11118599438899</c:v>
                </c:pt>
                <c:pt idx="50">
                  <c:v>103.82342428797354</c:v>
                </c:pt>
                <c:pt idx="51">
                  <c:v>105.52967468413536</c:v>
                </c:pt>
                <c:pt idx="52">
                  <c:v>107.22516060533411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0-4CBD-9708-28D0C446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63312"/>
        <c:axId val="5452610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'PT100 Tables'!$A$12:$A$64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-200</c:v>
                      </c:pt>
                      <c:pt idx="1">
                        <c:v>-190</c:v>
                      </c:pt>
                      <c:pt idx="2">
                        <c:v>-180</c:v>
                      </c:pt>
                      <c:pt idx="3">
                        <c:v>-170</c:v>
                      </c:pt>
                      <c:pt idx="4">
                        <c:v>-160</c:v>
                      </c:pt>
                      <c:pt idx="5">
                        <c:v>-150</c:v>
                      </c:pt>
                      <c:pt idx="6">
                        <c:v>-140</c:v>
                      </c:pt>
                      <c:pt idx="7">
                        <c:v>-130</c:v>
                      </c:pt>
                      <c:pt idx="8">
                        <c:v>-120</c:v>
                      </c:pt>
                      <c:pt idx="9">
                        <c:v>-110</c:v>
                      </c:pt>
                      <c:pt idx="10">
                        <c:v>-100</c:v>
                      </c:pt>
                      <c:pt idx="11">
                        <c:v>-90</c:v>
                      </c:pt>
                      <c:pt idx="12">
                        <c:v>-80</c:v>
                      </c:pt>
                      <c:pt idx="13">
                        <c:v>-70</c:v>
                      </c:pt>
                      <c:pt idx="14">
                        <c:v>-60</c:v>
                      </c:pt>
                      <c:pt idx="15">
                        <c:v>-50</c:v>
                      </c:pt>
                      <c:pt idx="16">
                        <c:v>-40</c:v>
                      </c:pt>
                      <c:pt idx="17">
                        <c:v>-30</c:v>
                      </c:pt>
                      <c:pt idx="18">
                        <c:v>-20</c:v>
                      </c:pt>
                      <c:pt idx="19">
                        <c:v>-10</c:v>
                      </c:pt>
                      <c:pt idx="20">
                        <c:v>0</c:v>
                      </c:pt>
                      <c:pt idx="21">
                        <c:v>10</c:v>
                      </c:pt>
                      <c:pt idx="22">
                        <c:v>20</c:v>
                      </c:pt>
                      <c:pt idx="23">
                        <c:v>30</c:v>
                      </c:pt>
                      <c:pt idx="24">
                        <c:v>40</c:v>
                      </c:pt>
                      <c:pt idx="25">
                        <c:v>50</c:v>
                      </c:pt>
                      <c:pt idx="26">
                        <c:v>60</c:v>
                      </c:pt>
                      <c:pt idx="27">
                        <c:v>70</c:v>
                      </c:pt>
                      <c:pt idx="28">
                        <c:v>80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110</c:v>
                      </c:pt>
                      <c:pt idx="32">
                        <c:v>120</c:v>
                      </c:pt>
                      <c:pt idx="33">
                        <c:v>130</c:v>
                      </c:pt>
                      <c:pt idx="34">
                        <c:v>140</c:v>
                      </c:pt>
                      <c:pt idx="35">
                        <c:v>150</c:v>
                      </c:pt>
                      <c:pt idx="36">
                        <c:v>160</c:v>
                      </c:pt>
                      <c:pt idx="37">
                        <c:v>170</c:v>
                      </c:pt>
                      <c:pt idx="38">
                        <c:v>180</c:v>
                      </c:pt>
                      <c:pt idx="39">
                        <c:v>190</c:v>
                      </c:pt>
                      <c:pt idx="40">
                        <c:v>200</c:v>
                      </c:pt>
                      <c:pt idx="41">
                        <c:v>210</c:v>
                      </c:pt>
                      <c:pt idx="42">
                        <c:v>220</c:v>
                      </c:pt>
                      <c:pt idx="43">
                        <c:v>230</c:v>
                      </c:pt>
                      <c:pt idx="44">
                        <c:v>240</c:v>
                      </c:pt>
                      <c:pt idx="45">
                        <c:v>250</c:v>
                      </c:pt>
                      <c:pt idx="46">
                        <c:v>260</c:v>
                      </c:pt>
                      <c:pt idx="47">
                        <c:v>270</c:v>
                      </c:pt>
                      <c:pt idx="48">
                        <c:v>280</c:v>
                      </c:pt>
                      <c:pt idx="49">
                        <c:v>290</c:v>
                      </c:pt>
                      <c:pt idx="50">
                        <c:v>300</c:v>
                      </c:pt>
                      <c:pt idx="51">
                        <c:v>310</c:v>
                      </c:pt>
                      <c:pt idx="52">
                        <c:v>320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'[1]RTD Voltage @ Resistance'!$B$12:$B$34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2.4950511553545525</c:v>
                      </c:pt>
                      <c:pt idx="1">
                        <c:v>2.4948569278292152</c:v>
                      </c:pt>
                      <c:pt idx="2">
                        <c:v>2.49465509377728</c:v>
                      </c:pt>
                      <c:pt idx="3">
                        <c:v>2.4944453566112497</c:v>
                      </c:pt>
                      <c:pt idx="4">
                        <c:v>2.4942274082838676</c:v>
                      </c:pt>
                      <c:pt idx="5">
                        <c:v>2.4940009288536982</c:v>
                      </c:pt>
                      <c:pt idx="6">
                        <c:v>2.4937655860349128</c:v>
                      </c:pt>
                      <c:pt idx="7">
                        <c:v>2.4935219925230507</c:v>
                      </c:pt>
                      <c:pt idx="8">
                        <c:v>2.493268906918324</c:v>
                      </c:pt>
                      <c:pt idx="9">
                        <c:v>2.4930059613891928</c:v>
                      </c:pt>
                      <c:pt idx="10">
                        <c:v>2.4927327740130938</c:v>
                      </c:pt>
                      <c:pt idx="11">
                        <c:v>2.4924489482496264</c:v>
                      </c:pt>
                      <c:pt idx="12">
                        <c:v>2.4921540723950875</c:v>
                      </c:pt>
                      <c:pt idx="13">
                        <c:v>2.4918477190177688</c:v>
                      </c:pt>
                      <c:pt idx="14">
                        <c:v>2.491529444373441</c:v>
                      </c:pt>
                      <c:pt idx="15">
                        <c:v>2.491198787800422</c:v>
                      </c:pt>
                      <c:pt idx="16">
                        <c:v>2.4908552710936234</c:v>
                      </c:pt>
                      <c:pt idx="17">
                        <c:v>2.4904983978569613</c:v>
                      </c:pt>
                      <c:pt idx="18">
                        <c:v>2.4901276528335061</c:v>
                      </c:pt>
                      <c:pt idx="19">
                        <c:v>2.4897425012127439</c:v>
                      </c:pt>
                      <c:pt idx="20">
                        <c:v>2.4893423879143075</c:v>
                      </c:pt>
                      <c:pt idx="21">
                        <c:v>2.4889267368475374</c:v>
                      </c:pt>
                      <c:pt idx="22">
                        <c:v>2.488494950146229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4B0-4CBD-9708-28D0C4469746}"/>
                  </c:ext>
                </c:extLst>
              </c15:ser>
            </c15:filteredLineSeries>
          </c:ext>
        </c:extLst>
      </c:lineChart>
      <c:catAx>
        <c:axId val="54526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1016"/>
        <c:crosses val="autoZero"/>
        <c:auto val="1"/>
        <c:lblAlgn val="ctr"/>
        <c:lblOffset val="100"/>
        <c:noMultiLvlLbl val="0"/>
      </c:catAx>
      <c:valAx>
        <c:axId val="545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</a:t>
                </a:r>
                <a:r>
                  <a:rPr lang="en-US" sz="1400" b="1" baseline="-25000"/>
                  <a:t>RTD</a:t>
                </a:r>
                <a:r>
                  <a:rPr lang="en-US" sz="1400" b="1"/>
                  <a:t>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3312"/>
        <c:crosses val="autoZero"/>
        <c:crossBetween val="between"/>
        <c:majorUnit val="5"/>
      </c:valAx>
      <c:spPr>
        <a:noFill/>
        <a:ln w="9525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17</xdr:row>
      <xdr:rowOff>52604</xdr:rowOff>
    </xdr:from>
    <xdr:to>
      <xdr:col>20</xdr:col>
      <xdr:colOff>17930</xdr:colOff>
      <xdr:row>44</xdr:row>
      <xdr:rowOff>94129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D29595D-A17F-49A6-AAFF-29ADE47E48D7}"/>
            </a:ext>
          </a:extLst>
        </xdr:cNvPr>
        <xdr:cNvGrpSpPr/>
      </xdr:nvGrpSpPr>
      <xdr:grpSpPr>
        <a:xfrm>
          <a:off x="7530912" y="3566769"/>
          <a:ext cx="5772712" cy="4891431"/>
          <a:chOff x="7075295" y="2857500"/>
          <a:chExt cx="5600700" cy="5133440"/>
        </a:xfrm>
      </xdr:grpSpPr>
      <xdr:graphicFrame macro="">
        <xdr:nvGraphicFramePr>
          <xdr:cNvPr id="44" name="Chart 43">
            <a:extLst>
              <a:ext uri="{FF2B5EF4-FFF2-40B4-BE49-F238E27FC236}">
                <a16:creationId xmlns:a16="http://schemas.microsoft.com/office/drawing/2014/main" id="{DE661D9D-6115-4A9D-8465-E2EB6C241CAF}"/>
              </a:ext>
            </a:extLst>
          </xdr:cNvPr>
          <xdr:cNvGraphicFramePr>
            <a:graphicFrameLocks/>
          </xdr:cNvGraphicFramePr>
        </xdr:nvGraphicFramePr>
        <xdr:xfrm>
          <a:off x="7075295" y="3571340"/>
          <a:ext cx="5600700" cy="4419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#REF!">
        <xdr:nvSpPr>
          <xdr:cNvPr id="47" name="TextBox 46">
            <a:extLst>
              <a:ext uri="{FF2B5EF4-FFF2-40B4-BE49-F238E27FC236}">
                <a16:creationId xmlns:a16="http://schemas.microsoft.com/office/drawing/2014/main" id="{8AFC66A0-10B0-4D75-B053-DC4F88F69C38}"/>
              </a:ext>
            </a:extLst>
          </xdr:cNvPr>
          <xdr:cNvSpPr txBox="1"/>
        </xdr:nvSpPr>
        <xdr:spPr>
          <a:xfrm>
            <a:off x="8644927" y="2857500"/>
            <a:ext cx="210082" cy="2776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88E6398F-BD83-41EB-BBCA-8D06170054B1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 </a:t>
            </a:fld>
            <a:endParaRPr lang="en-US" sz="1200"/>
          </a:p>
        </xdr:txBody>
      </xdr:sp>
    </xdr:grpSp>
    <xdr:clientData/>
  </xdr:twoCellAnchor>
  <xdr:twoCellAnchor>
    <xdr:from>
      <xdr:col>0</xdr:col>
      <xdr:colOff>35859</xdr:colOff>
      <xdr:row>10</xdr:row>
      <xdr:rowOff>194983</xdr:rowOff>
    </xdr:from>
    <xdr:to>
      <xdr:col>9</xdr:col>
      <xdr:colOff>12328</xdr:colOff>
      <xdr:row>33</xdr:row>
      <xdr:rowOff>140635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C89F7CF-7B11-4CAD-91A0-041EA5E08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123266</xdr:colOff>
      <xdr:row>1</xdr:row>
      <xdr:rowOff>100853</xdr:rowOff>
    </xdr:from>
    <xdr:to>
      <xdr:col>30</xdr:col>
      <xdr:colOff>493058</xdr:colOff>
      <xdr:row>25</xdr:row>
      <xdr:rowOff>3923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B57D904-60B2-4683-B71E-7D532304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1" y="381000"/>
          <a:ext cx="6006351" cy="5019675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33</xdr:row>
      <xdr:rowOff>176212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46D5E8-BBED-48C7-810B-1B4C676CFAC8}"/>
            </a:ext>
          </a:extLst>
        </xdr:cNvPr>
        <xdr:cNvSpPr txBox="1"/>
      </xdr:nvSpPr>
      <xdr:spPr>
        <a:xfrm>
          <a:off x="8458200" y="3814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3C12DB-E9AC-439E-9AA4-299605EFBD43}"/>
            </a:ext>
          </a:extLst>
        </xdr:cNvPr>
        <xdr:cNvSpPr txBox="1"/>
      </xdr:nvSpPr>
      <xdr:spPr>
        <a:xfrm>
          <a:off x="8562975" y="651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4EECFB-306A-40DA-9536-3E2397E4BE5D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A74593-4A84-4A98-9C7D-6DAF9BFBBE66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9A19AB-6314-44F8-B516-691A1E7D5E8F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el.muckenhirn\Documents\_Help%20Center\_ARTICLES\RTD%20Error%20Budget\RTD%20Error%20Budget_Comp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TD Data"/>
      <sheetName val="RTD Resistance @ Temperature"/>
      <sheetName val="RTD Voltage @ Resistance"/>
      <sheetName val="RTD Current @ Resistance"/>
      <sheetName val="Temp @ Sensitivity"/>
      <sheetName val="STD Resistor Vals"/>
    </sheetNames>
    <sheetDataSet>
      <sheetData sheetId="0"/>
      <sheetData sheetId="1"/>
      <sheetData sheetId="2">
        <row r="12">
          <cell r="B12">
            <v>2.4950511553545525</v>
          </cell>
        </row>
        <row r="13">
          <cell r="B13">
            <v>2.4948569278292152</v>
          </cell>
        </row>
        <row r="14">
          <cell r="B14">
            <v>2.49465509377728</v>
          </cell>
        </row>
        <row r="15">
          <cell r="B15">
            <v>2.4944453566112497</v>
          </cell>
        </row>
        <row r="16">
          <cell r="B16">
            <v>2.4942274082838676</v>
          </cell>
        </row>
        <row r="17">
          <cell r="B17">
            <v>2.4940009288536982</v>
          </cell>
        </row>
        <row r="18">
          <cell r="B18">
            <v>2.4937655860349128</v>
          </cell>
        </row>
        <row r="19">
          <cell r="B19">
            <v>2.4935219925230507</v>
          </cell>
        </row>
        <row r="20">
          <cell r="B20">
            <v>2.493268906918324</v>
          </cell>
        </row>
        <row r="21">
          <cell r="B21">
            <v>2.4930059613891928</v>
          </cell>
        </row>
        <row r="22">
          <cell r="B22">
            <v>2.4927327740130938</v>
          </cell>
        </row>
        <row r="23">
          <cell r="B23">
            <v>2.4924489482496264</v>
          </cell>
        </row>
        <row r="24">
          <cell r="B24">
            <v>2.4921540723950875</v>
          </cell>
        </row>
        <row r="25">
          <cell r="B25">
            <v>2.4918477190177688</v>
          </cell>
        </row>
        <row r="26">
          <cell r="B26">
            <v>2.491529444373441</v>
          </cell>
        </row>
        <row r="27">
          <cell r="B27">
            <v>2.491198787800422</v>
          </cell>
        </row>
        <row r="28">
          <cell r="B28">
            <v>2.4908552710936234</v>
          </cell>
        </row>
        <row r="29">
          <cell r="B29">
            <v>2.4904983978569613</v>
          </cell>
        </row>
        <row r="30">
          <cell r="B30">
            <v>2.4901276528335061</v>
          </cell>
        </row>
        <row r="31">
          <cell r="B31">
            <v>2.4897425012127439</v>
          </cell>
        </row>
        <row r="32">
          <cell r="B32">
            <v>2.4893423879143075</v>
          </cell>
        </row>
        <row r="33">
          <cell r="B33">
            <v>2.4889267368475374</v>
          </cell>
        </row>
        <row r="34">
          <cell r="B34">
            <v>2.488494950146229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EB45-1C3F-48F2-A398-FF1490EBEE51}">
  <sheetPr codeName="Sheet1"/>
  <dimension ref="A1:AE57"/>
  <sheetViews>
    <sheetView tabSelected="1" zoomScale="85" zoomScaleNormal="85" workbookViewId="0">
      <selection activeCell="K13" sqref="K13"/>
    </sheetView>
  </sheetViews>
  <sheetFormatPr defaultRowHeight="14.4" x14ac:dyDescent="0.3"/>
  <cols>
    <col min="1" max="1" width="11.88671875" customWidth="1"/>
    <col min="2" max="2" width="11.5546875" bestFit="1" customWidth="1"/>
    <col min="3" max="3" width="9.5546875" customWidth="1"/>
    <col min="4" max="4" width="9.5546875" bestFit="1" customWidth="1"/>
    <col min="5" max="5" width="12.109375" customWidth="1"/>
    <col min="6" max="6" width="10.33203125" customWidth="1"/>
    <col min="11" max="11" width="9.109375" customWidth="1"/>
    <col min="12" max="12" width="10.44140625" customWidth="1"/>
    <col min="13" max="13" width="12" customWidth="1"/>
    <col min="16" max="16" width="2.6640625" customWidth="1"/>
    <col min="17" max="17" width="10.5546875" customWidth="1"/>
    <col min="18" max="18" width="12.109375" customWidth="1"/>
    <col min="19" max="19" width="9.5546875" bestFit="1" customWidth="1"/>
    <col min="22" max="22" width="11.88671875" customWidth="1"/>
    <col min="23" max="23" width="9.109375" customWidth="1"/>
  </cols>
  <sheetData>
    <row r="1" spans="1:31" ht="21.6" thickBot="1" x14ac:dyDescent="0.45">
      <c r="A1" s="80" t="s">
        <v>58</v>
      </c>
      <c r="B1" s="81"/>
      <c r="C1" s="81"/>
      <c r="D1" s="81"/>
      <c r="E1" s="81"/>
      <c r="F1" s="81"/>
      <c r="G1" s="81"/>
      <c r="H1" s="81"/>
      <c r="I1" s="82"/>
      <c r="L1" s="147" t="s">
        <v>57</v>
      </c>
      <c r="M1" s="148"/>
      <c r="N1" s="148"/>
      <c r="O1" s="148"/>
      <c r="P1" s="148"/>
      <c r="Q1" s="148"/>
      <c r="R1" s="148"/>
      <c r="S1" s="148"/>
      <c r="T1" s="149"/>
      <c r="V1" s="102" t="s">
        <v>86</v>
      </c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ht="18.600000000000001" thickBot="1" x14ac:dyDescent="0.4">
      <c r="A2" s="92" t="s">
        <v>4</v>
      </c>
      <c r="B2" s="93"/>
      <c r="C2" s="93"/>
      <c r="D2" s="93"/>
      <c r="E2" s="93"/>
      <c r="F2" s="93"/>
      <c r="G2" s="93"/>
      <c r="H2" s="93"/>
      <c r="I2" s="94"/>
      <c r="L2" s="150" t="str">
        <f>IF(ABS(T15)&gt;ABS(O15),"Recommend Using Sensitivity for 20°C", "Recommend Using Sensitivity for Mid-Range")</f>
        <v>Recommend Using Sensitivity for 20°C</v>
      </c>
      <c r="M2" s="151"/>
      <c r="N2" s="151"/>
      <c r="O2" s="151"/>
      <c r="P2" s="151"/>
      <c r="Q2" s="151"/>
      <c r="R2" s="151"/>
      <c r="S2" s="151"/>
      <c r="T2" s="152"/>
      <c r="U2" s="1"/>
      <c r="V2" s="1"/>
    </row>
    <row r="3" spans="1:31" ht="16.8" thickBot="1" x14ac:dyDescent="0.4">
      <c r="A3" s="57" t="s">
        <v>62</v>
      </c>
      <c r="B3" s="45">
        <v>100</v>
      </c>
      <c r="C3" s="59" t="s">
        <v>0</v>
      </c>
      <c r="D3" s="60" t="s">
        <v>59</v>
      </c>
      <c r="E3" s="45">
        <v>5</v>
      </c>
      <c r="F3" s="59" t="s">
        <v>2</v>
      </c>
      <c r="G3" s="61" t="s">
        <v>36</v>
      </c>
      <c r="H3" s="58">
        <f>IF(B3=100,'PT100 Tables'!D32, IF(B3=500, 'PT500 Tables'!D32, IF(B3=1000, 'PT1000 Tables'!D32, 0)))</f>
        <v>0.49504950495049505</v>
      </c>
      <c r="I3" s="62" t="s">
        <v>17</v>
      </c>
      <c r="J3" s="63">
        <f>IF(B3="Custom", B4, B3)</f>
        <v>100</v>
      </c>
      <c r="L3" s="153" t="s">
        <v>44</v>
      </c>
      <c r="M3" s="154"/>
      <c r="N3" s="154"/>
      <c r="O3" s="155"/>
      <c r="P3" s="156"/>
      <c r="Q3" s="157" t="s">
        <v>45</v>
      </c>
      <c r="R3" s="154"/>
      <c r="S3" s="154"/>
      <c r="T3" s="158"/>
    </row>
    <row r="4" spans="1:31" ht="15.6" x14ac:dyDescent="0.35">
      <c r="A4" s="57" t="s">
        <v>77</v>
      </c>
      <c r="B4" s="45">
        <v>0</v>
      </c>
      <c r="C4" s="59" t="s">
        <v>0</v>
      </c>
      <c r="D4" s="60" t="s">
        <v>60</v>
      </c>
      <c r="E4" s="45">
        <v>-50</v>
      </c>
      <c r="F4" s="64" t="s">
        <v>21</v>
      </c>
      <c r="G4" s="86" t="s">
        <v>22</v>
      </c>
      <c r="H4" s="88">
        <f>E5-E4</f>
        <v>550</v>
      </c>
      <c r="I4" s="90" t="s">
        <v>21</v>
      </c>
      <c r="L4" s="159" t="s">
        <v>47</v>
      </c>
      <c r="M4" s="160"/>
      <c r="N4" s="161">
        <v>20</v>
      </c>
      <c r="O4" s="162" t="s">
        <v>21</v>
      </c>
      <c r="P4" s="163"/>
      <c r="Q4" s="164" t="s">
        <v>42</v>
      </c>
      <c r="R4" s="160"/>
      <c r="S4" s="161">
        <f>ROUND((E5-E4)/2, -1)</f>
        <v>280</v>
      </c>
      <c r="T4" s="165" t="s">
        <v>21</v>
      </c>
    </row>
    <row r="5" spans="1:31" ht="16.2" x14ac:dyDescent="0.35">
      <c r="A5" s="57" t="s">
        <v>63</v>
      </c>
      <c r="B5" s="79">
        <v>0</v>
      </c>
      <c r="C5" s="59" t="s">
        <v>0</v>
      </c>
      <c r="D5" s="60" t="s">
        <v>61</v>
      </c>
      <c r="E5" s="45">
        <v>500</v>
      </c>
      <c r="F5" s="64" t="s">
        <v>21</v>
      </c>
      <c r="G5" s="87"/>
      <c r="H5" s="89"/>
      <c r="I5" s="91"/>
      <c r="L5" s="166" t="s">
        <v>27</v>
      </c>
      <c r="M5" s="167"/>
      <c r="N5" s="168">
        <f>IF(B3=100, 'PT100 Tables'!$E$34, IF(B3=500, 'PT500 Tables'!$E$34, IF(B3=1000, 'PT1000 Tables'!$E$34, 'PT-CUSTOM Tables'!$E$34)))</f>
        <v>53.32026090767615</v>
      </c>
      <c r="O5" s="169" t="s">
        <v>20</v>
      </c>
      <c r="P5" s="163"/>
      <c r="Q5" s="170" t="s">
        <v>46</v>
      </c>
      <c r="R5" s="167"/>
      <c r="S5" s="168">
        <f>IF(B3=100, 'PT100 Tables'!M6, IF(B3=500, 'PT500 Tables'!M6, IF(B3=1000, 'PT1000 Tables'!M6, 'PT-CUSTOM Tables'!M6)))</f>
        <v>100.39294848553148</v>
      </c>
      <c r="T5" s="171" t="s">
        <v>20</v>
      </c>
      <c r="W5" s="65"/>
    </row>
    <row r="6" spans="1:31" ht="16.2" x14ac:dyDescent="0.35">
      <c r="A6" s="95" t="s">
        <v>5</v>
      </c>
      <c r="B6" s="96"/>
      <c r="C6" s="96"/>
      <c r="D6" s="96"/>
      <c r="E6" s="96"/>
      <c r="F6" s="96"/>
      <c r="G6" s="96"/>
      <c r="H6" s="96"/>
      <c r="I6" s="97"/>
      <c r="L6" s="172" t="s">
        <v>26</v>
      </c>
      <c r="M6" s="173"/>
      <c r="N6" s="168">
        <f>IF(B3=100,('PT100 Tables'!$E$35-'PT100 Tables'!$E$33)/('PT100 Tables'!$A$35-'PT100 Tables'!$A$33),IF(B3=500,('PT500 Tables'!$E$35-'PT500 Tables'!$E$33)/('PT500 Tables'!$A$35-'PT500 Tables'!$A$33),IF(B3=1000,('PT1000 Tables'!$E$35-'PT1000 Tables'!$E$33)/('PT1000 Tables'!$A$35-'PT1000 Tables'!$A$33),('PT-CUSTOM Tables'!$E$35-'PT-CUSTOM Tables'!$E$33)/('PT-CUSTOM Tables'!$A$35-'PT-CUSTOM Tables'!$A$33))))</f>
        <v>0.19012932241729957</v>
      </c>
      <c r="O6" s="169" t="s">
        <v>23</v>
      </c>
      <c r="P6" s="163"/>
      <c r="Q6" s="174" t="s">
        <v>43</v>
      </c>
      <c r="R6" s="173"/>
      <c r="S6" s="175">
        <f>IF(B3=100,'PT100 Tables'!M7,IF(B3=500,'PT500 Tables'!M7,IF(B3=1000,'PT1000 Tables'!M7,'PT-CUSTOM Tables'!M7)))</f>
        <v>0.17212428009941974</v>
      </c>
      <c r="T6" s="171" t="s">
        <v>23</v>
      </c>
    </row>
    <row r="7" spans="1:31" ht="15.6" x14ac:dyDescent="0.35">
      <c r="A7" s="66" t="s">
        <v>90</v>
      </c>
      <c r="B7" s="67">
        <f>'PT100 Tables'!J7</f>
        <v>4950</v>
      </c>
      <c r="C7" s="98" t="s">
        <v>0</v>
      </c>
      <c r="D7" s="99"/>
      <c r="E7" s="60" t="s">
        <v>92</v>
      </c>
      <c r="F7" s="56">
        <v>5000</v>
      </c>
      <c r="G7" s="98" t="s">
        <v>0</v>
      </c>
      <c r="H7" s="100"/>
      <c r="I7" s="101"/>
      <c r="L7" s="172" t="s">
        <v>25</v>
      </c>
      <c r="M7" s="173"/>
      <c r="N7" s="168">
        <f>(-N5/N6)+N4</f>
        <v>-260.44207084821875</v>
      </c>
      <c r="O7" s="176" t="s">
        <v>21</v>
      </c>
      <c r="P7" s="163"/>
      <c r="Q7" s="174" t="s">
        <v>25</v>
      </c>
      <c r="R7" s="173"/>
      <c r="S7" s="168">
        <f>(-S5/S6)+S4</f>
        <v>-303.25849454559273</v>
      </c>
      <c r="T7" s="177" t="s">
        <v>21</v>
      </c>
    </row>
    <row r="8" spans="1:31" ht="16.2" thickBot="1" x14ac:dyDescent="0.4">
      <c r="A8" s="66" t="s">
        <v>91</v>
      </c>
      <c r="B8" s="67">
        <f>B7</f>
        <v>4950</v>
      </c>
      <c r="C8" s="98" t="str">
        <f>C7</f>
        <v>ohms</v>
      </c>
      <c r="D8" s="99"/>
      <c r="E8" s="61" t="s">
        <v>93</v>
      </c>
      <c r="F8" s="67">
        <f>F7</f>
        <v>5000</v>
      </c>
      <c r="G8" s="98" t="s">
        <v>0</v>
      </c>
      <c r="H8" s="100"/>
      <c r="I8" s="101"/>
      <c r="L8" s="178" t="s">
        <v>88</v>
      </c>
      <c r="M8" s="179"/>
      <c r="N8" s="180">
        <f>H4</f>
        <v>550</v>
      </c>
      <c r="O8" s="176" t="s">
        <v>21</v>
      </c>
      <c r="P8" s="163"/>
      <c r="Q8" s="181" t="s">
        <v>88</v>
      </c>
      <c r="R8" s="179"/>
      <c r="S8" s="180">
        <f>H4</f>
        <v>550</v>
      </c>
      <c r="T8" s="176" t="s">
        <v>21</v>
      </c>
    </row>
    <row r="9" spans="1:31" ht="15" thickBot="1" x14ac:dyDescent="0.35">
      <c r="A9" s="83" t="s">
        <v>79</v>
      </c>
      <c r="B9" s="84"/>
      <c r="C9" s="84"/>
      <c r="D9" s="84"/>
      <c r="E9" s="84"/>
      <c r="F9" s="84"/>
      <c r="G9" s="84"/>
      <c r="H9" s="84"/>
      <c r="I9" s="85"/>
      <c r="L9" s="182" t="s">
        <v>64</v>
      </c>
      <c r="M9" s="183"/>
      <c r="N9" s="183"/>
      <c r="O9" s="183"/>
      <c r="P9" s="183"/>
      <c r="Q9" s="183"/>
      <c r="R9" s="183"/>
      <c r="S9" s="183"/>
      <c r="T9" s="184"/>
    </row>
    <row r="10" spans="1:31" ht="16.2" thickBot="1" x14ac:dyDescent="0.4">
      <c r="A10" s="68" t="s">
        <v>78</v>
      </c>
      <c r="B10" s="72">
        <v>3.8500000000000001E-3</v>
      </c>
      <c r="C10" s="103" t="s">
        <v>18</v>
      </c>
      <c r="D10" s="104"/>
      <c r="E10" s="104"/>
      <c r="F10" s="104"/>
      <c r="G10" s="104"/>
      <c r="H10" s="104"/>
      <c r="I10" s="105"/>
      <c r="L10" s="159" t="s">
        <v>50</v>
      </c>
      <c r="M10" s="160"/>
      <c r="N10" s="161">
        <f>ROUND($E$4, -1)</f>
        <v>-50</v>
      </c>
      <c r="O10" s="185" t="s">
        <v>21</v>
      </c>
      <c r="P10" s="163"/>
      <c r="Q10" s="164" t="s">
        <v>50</v>
      </c>
      <c r="R10" s="160"/>
      <c r="S10" s="161">
        <f>ROUND($E$4, -1)</f>
        <v>-50</v>
      </c>
      <c r="T10" s="165" t="s">
        <v>21</v>
      </c>
    </row>
    <row r="11" spans="1:31" ht="15.6" x14ac:dyDescent="0.35">
      <c r="L11" s="159" t="s">
        <v>89</v>
      </c>
      <c r="M11" s="160"/>
      <c r="N11" s="161">
        <f>ROUND(SUM(ABS(N10), ABS(N12))/2, -1)</f>
        <v>280</v>
      </c>
      <c r="O11" s="185" t="s">
        <v>21</v>
      </c>
      <c r="P11" s="163"/>
      <c r="Q11" s="164" t="s">
        <v>50</v>
      </c>
      <c r="R11" s="160"/>
      <c r="S11" s="161">
        <f>ROUND(SUM(ABS(S10), ABS(S12))/2, -1)</f>
        <v>280</v>
      </c>
      <c r="T11" s="165" t="s">
        <v>21</v>
      </c>
    </row>
    <row r="12" spans="1:31" ht="15.6" x14ac:dyDescent="0.35">
      <c r="L12" s="166" t="s">
        <v>51</v>
      </c>
      <c r="M12" s="167"/>
      <c r="N12" s="168">
        <f>ROUND($E$5, -1)</f>
        <v>500</v>
      </c>
      <c r="O12" s="186" t="s">
        <v>21</v>
      </c>
      <c r="P12" s="163"/>
      <c r="Q12" s="170" t="s">
        <v>51</v>
      </c>
      <c r="R12" s="167"/>
      <c r="S12" s="168">
        <f>ROUND($E$5, -1)</f>
        <v>500</v>
      </c>
      <c r="T12" s="177" t="s">
        <v>21</v>
      </c>
    </row>
    <row r="13" spans="1:31" ht="15.6" x14ac:dyDescent="0.35">
      <c r="A13" s="1"/>
      <c r="B13" s="1"/>
      <c r="C13" s="20"/>
      <c r="F13" s="1"/>
      <c r="L13" s="187"/>
      <c r="M13" s="188" t="s">
        <v>52</v>
      </c>
      <c r="N13" s="188" t="s">
        <v>53</v>
      </c>
      <c r="O13" s="189" t="s">
        <v>54</v>
      </c>
      <c r="P13" s="163"/>
      <c r="Q13" s="190"/>
      <c r="R13" s="188" t="s">
        <v>52</v>
      </c>
      <c r="S13" s="188" t="s">
        <v>53</v>
      </c>
      <c r="T13" s="191" t="s">
        <v>54</v>
      </c>
    </row>
    <row r="14" spans="1:31" ht="15.6" x14ac:dyDescent="0.35">
      <c r="A14" s="1"/>
      <c r="B14" s="1"/>
      <c r="C14" s="20"/>
      <c r="F14" s="1"/>
      <c r="L14" s="187" t="s">
        <v>50</v>
      </c>
      <c r="M14" s="192">
        <f>N10</f>
        <v>-50</v>
      </c>
      <c r="N14" s="168">
        <f>IF(B3=100, VLOOKUP(N10, 'PT100 Tables'!$12:$64, 12), IF(B3=500,VLOOKUP(N10, 'PT500 Tables'!$12:$64, 12), IF(B3=1000, VLOOKUP(N10, 'PT1000 Tables'!$12:$64, 12), VLOOKUP(N10, 'PT-CUSTOM Tables'!$12:$64, 12))))</f>
        <v>-50.85941471425712</v>
      </c>
      <c r="O14" s="193">
        <f>VLOOKUP(N10, 'PT100 Tables'!$12:$64, 13)</f>
        <v>1.7188294285142407</v>
      </c>
      <c r="P14" s="163"/>
      <c r="Q14" s="190" t="s">
        <v>50</v>
      </c>
      <c r="R14" s="192">
        <f>S10</f>
        <v>-50</v>
      </c>
      <c r="S14" s="168">
        <f>IF(B3=100, VLOOKUP(S10, 'PT100 Tables'!$12:$64, 14), IF(B3=500, VLOOKUP(S10, 'PT500 Tables'!$12:$64, 14), IF(B3=1000, VLOOKUP(S10, 'PT1000 Tables'!$12:$64, 14), VLOOKUP(S10, 'PT-CUSTOM Tables'!$12:$64, 14))))</f>
        <v>-56.179558471220822</v>
      </c>
      <c r="T14" s="194">
        <f>VLOOKUP(S10, 'PT100 Tables'!$12:$64, 15)</f>
        <v>12.359116942441645</v>
      </c>
    </row>
    <row r="15" spans="1:31" ht="15.6" x14ac:dyDescent="0.35">
      <c r="A15" s="1"/>
      <c r="B15" s="1"/>
      <c r="C15" s="20"/>
      <c r="F15" s="1"/>
      <c r="L15" s="187" t="s">
        <v>89</v>
      </c>
      <c r="M15" s="192">
        <f>N11</f>
        <v>280</v>
      </c>
      <c r="N15" s="168">
        <f>IF(B3=100, VLOOKUP(N11, 'PT100 Tables'!$12:$64, 12), IF(B3=500,VLOOKUP(N11, 'PT500 Tables'!$12:$64, 12), IF(B3=1000, VLOOKUP(N11, 'PT1000 Tables'!$12:$64, 12), VLOOKUP(N11, 'PT-CUSTOM Tables'!$12:$64, 12))))</f>
        <v>267.64939433588256</v>
      </c>
      <c r="O15" s="193">
        <f>VLOOKUP(N11, 'PT100 Tables'!$12:$64, 13)</f>
        <v>-4.410930594327656</v>
      </c>
      <c r="P15" s="163"/>
      <c r="Q15" s="190" t="s">
        <v>50</v>
      </c>
      <c r="R15" s="192">
        <f>S11</f>
        <v>280</v>
      </c>
      <c r="S15" s="168">
        <f>IF(B3=100, VLOOKUP(S11, 'PT100 Tables'!$12:$64, 14), IF(B3=500, VLOOKUP(S11, 'PT500 Tables'!$12:$64, 14), IF(B3=1000, VLOOKUP(S11, 'PT1000 Tables'!$12:$64, 14), VLOOKUP(S11, 'PT-CUSTOM Tables'!$12:$64, 14))))</f>
        <v>295.64683123780583</v>
      </c>
      <c r="T15" s="194">
        <f>VLOOKUP(S11, 'PT100 Tables'!$12:$64, 15)</f>
        <v>5.5881540135020815</v>
      </c>
    </row>
    <row r="16" spans="1:31" ht="16.2" thickBot="1" x14ac:dyDescent="0.4">
      <c r="A16" s="1"/>
      <c r="C16" s="20"/>
      <c r="F16" s="1"/>
      <c r="L16" s="195" t="s">
        <v>51</v>
      </c>
      <c r="M16" s="196">
        <f>N12</f>
        <v>500</v>
      </c>
      <c r="N16" s="197">
        <f>IF(B3=100, VLOOKUP(N12, 'PT100 Tables'!$12:$64, 12), IF(B3=500, VLOOKUP(N12, 'PT500 Tables'!$12:$64, 12), IF(B3=1000, VLOOKUP(N12, 'PT1000 Tables'!$12:$64, 12), VLOOKUP(N12, 'PT-CUSTOM Tables'!$12:$64, 12))))</f>
        <v>303.58394684434393</v>
      </c>
      <c r="O16" s="198">
        <f>VLOOKUP(N12, 'PT100 Tables'!$12:$64, 13)</f>
        <v>-5.1300166111425227</v>
      </c>
      <c r="P16" s="199"/>
      <c r="Q16" s="200" t="s">
        <v>51</v>
      </c>
      <c r="R16" s="196">
        <f>S12</f>
        <v>500</v>
      </c>
      <c r="S16" s="197">
        <f>IF(B3=100,VLOOKUP(S12,'PT100 Tables'!12:64,14),IF(B3=500,VLOOKUP(S12,'PT500 Tables'!12:64,14),IF(B3=1000,VLOOKUP(S12,'PT1000 Tables'!12:64,14),VLOOKUP(S12,'PT-CUSTOM Tables'!12:64,14))))</f>
        <v>335.34031385313659</v>
      </c>
      <c r="T16" s="201">
        <f>VLOOKUP(S12, 'PT100 Tables'!$12:$64, 15)</f>
        <v>4.7938480791051852</v>
      </c>
    </row>
    <row r="17" spans="3:20" ht="15" thickBot="1" x14ac:dyDescent="0.35">
      <c r="L17" s="182" t="s">
        <v>85</v>
      </c>
      <c r="M17" s="183"/>
      <c r="N17" s="183"/>
      <c r="O17" s="183"/>
      <c r="P17" s="183"/>
      <c r="Q17" s="183"/>
      <c r="R17" s="183"/>
      <c r="S17" s="183"/>
      <c r="T17" s="184"/>
    </row>
    <row r="18" spans="3:20" x14ac:dyDescent="0.3">
      <c r="C18" s="69"/>
      <c r="L18" s="202" t="s">
        <v>80</v>
      </c>
      <c r="M18" s="203"/>
      <c r="N18" s="204" t="s">
        <v>87</v>
      </c>
      <c r="O18" s="205"/>
      <c r="P18" s="206"/>
      <c r="Q18" s="207" t="s">
        <v>81</v>
      </c>
      <c r="R18" s="203"/>
      <c r="S18" s="204" t="s">
        <v>82</v>
      </c>
      <c r="T18" s="208"/>
    </row>
    <row r="19" spans="3:20" x14ac:dyDescent="0.3">
      <c r="L19" s="172" t="s">
        <v>70</v>
      </c>
      <c r="M19" s="173"/>
      <c r="N19" s="209" t="s">
        <v>69</v>
      </c>
      <c r="O19" s="210"/>
      <c r="P19" s="206"/>
      <c r="Q19" s="173" t="s">
        <v>68</v>
      </c>
      <c r="R19" s="173"/>
      <c r="S19" s="209" t="s">
        <v>82</v>
      </c>
      <c r="T19" s="211"/>
    </row>
    <row r="20" spans="3:20" ht="15" thickBot="1" x14ac:dyDescent="0.35">
      <c r="L20" s="212" t="s">
        <v>83</v>
      </c>
      <c r="M20" s="213"/>
      <c r="N20" s="214" t="s">
        <v>84</v>
      </c>
      <c r="O20" s="215"/>
      <c r="P20" s="216"/>
      <c r="Q20" s="217"/>
      <c r="R20" s="217"/>
      <c r="S20" s="214"/>
      <c r="T20" s="218"/>
    </row>
    <row r="27" spans="3:20" x14ac:dyDescent="0.3">
      <c r="L27" s="13"/>
      <c r="M27" s="13"/>
      <c r="O27" s="70"/>
      <c r="Q27" s="13"/>
      <c r="R27" s="13"/>
      <c r="T27" s="70"/>
    </row>
    <row r="28" spans="3:20" x14ac:dyDescent="0.3">
      <c r="L28" s="1"/>
      <c r="M28" s="1"/>
      <c r="O28" s="71"/>
      <c r="Q28" s="13"/>
      <c r="R28" s="13"/>
      <c r="T28" s="71"/>
    </row>
    <row r="29" spans="3:20" x14ac:dyDescent="0.3">
      <c r="L29" s="13"/>
      <c r="M29" s="13"/>
      <c r="O29" s="70"/>
      <c r="Q29" s="13"/>
      <c r="R29" s="13"/>
      <c r="T29" s="70"/>
    </row>
    <row r="30" spans="3:20" x14ac:dyDescent="0.3">
      <c r="M30" s="1"/>
    </row>
    <row r="31" spans="3:20" x14ac:dyDescent="0.3">
      <c r="L31" s="13"/>
      <c r="M31" s="13"/>
      <c r="O31" s="70"/>
      <c r="Q31" s="13"/>
      <c r="R31" s="13"/>
      <c r="T31" s="70"/>
    </row>
    <row r="32" spans="3:20" x14ac:dyDescent="0.3">
      <c r="M32" s="1"/>
    </row>
    <row r="37" spans="3:4" x14ac:dyDescent="0.3">
      <c r="C37" s="69"/>
    </row>
    <row r="38" spans="3:4" x14ac:dyDescent="0.3">
      <c r="C38" s="69"/>
    </row>
    <row r="43" spans="3:4" x14ac:dyDescent="0.3">
      <c r="D43" s="69"/>
    </row>
    <row r="44" spans="3:4" x14ac:dyDescent="0.3">
      <c r="D44" s="69"/>
    </row>
    <row r="45" spans="3:4" x14ac:dyDescent="0.3">
      <c r="D45" s="69"/>
    </row>
    <row r="46" spans="3:4" x14ac:dyDescent="0.3">
      <c r="D46" s="69"/>
    </row>
    <row r="47" spans="3:4" x14ac:dyDescent="0.3">
      <c r="D47" s="69"/>
    </row>
    <row r="48" spans="3:4" x14ac:dyDescent="0.3">
      <c r="D48" s="69"/>
    </row>
    <row r="52" spans="16:18" x14ac:dyDescent="0.3">
      <c r="P52" s="69"/>
      <c r="R52" s="69"/>
    </row>
    <row r="53" spans="16:18" x14ac:dyDescent="0.3">
      <c r="P53" s="69"/>
      <c r="R53" s="69"/>
    </row>
    <row r="54" spans="16:18" x14ac:dyDescent="0.3">
      <c r="P54" s="69"/>
      <c r="R54" s="69"/>
    </row>
    <row r="55" spans="16:18" x14ac:dyDescent="0.3">
      <c r="P55" s="69"/>
      <c r="R55" s="69"/>
    </row>
    <row r="56" spans="16:18" x14ac:dyDescent="0.3">
      <c r="P56" s="69"/>
      <c r="R56" s="69"/>
    </row>
    <row r="57" spans="16:18" x14ac:dyDescent="0.3">
      <c r="P57" s="69"/>
      <c r="R57" s="69"/>
    </row>
  </sheetData>
  <sheetProtection algorithmName="SHA-512" hashValue="Fm2VE0AjaDvyw24NnEz9aWbJiWIXk48A+o4hcijz4WotiY1izULT7MWHmecBAMQBDcjNNiLIk8L+k4AtsY4n7Q==" saltValue="ZrPGNVHCrA8IratXnRa08w==" spinCount="100000" sheet="1"/>
  <dataConsolidate/>
  <mergeCells count="47">
    <mergeCell ref="L2:T2"/>
    <mergeCell ref="V1:AE1"/>
    <mergeCell ref="C10:I10"/>
    <mergeCell ref="L18:M18"/>
    <mergeCell ref="Q18:R18"/>
    <mergeCell ref="N18:O18"/>
    <mergeCell ref="S18:T18"/>
    <mergeCell ref="L1:T1"/>
    <mergeCell ref="L5:M5"/>
    <mergeCell ref="L6:M6"/>
    <mergeCell ref="L7:M7"/>
    <mergeCell ref="L3:O3"/>
    <mergeCell ref="Q3:T3"/>
    <mergeCell ref="Q7:R7"/>
    <mergeCell ref="Q6:R6"/>
    <mergeCell ref="Q4:R4"/>
    <mergeCell ref="Q5:R5"/>
    <mergeCell ref="Q20:R20"/>
    <mergeCell ref="S20:T20"/>
    <mergeCell ref="C7:D7"/>
    <mergeCell ref="C8:D8"/>
    <mergeCell ref="G7:I7"/>
    <mergeCell ref="G8:I8"/>
    <mergeCell ref="L17:T17"/>
    <mergeCell ref="L19:M19"/>
    <mergeCell ref="L20:M20"/>
    <mergeCell ref="N19:O19"/>
    <mergeCell ref="N20:O20"/>
    <mergeCell ref="Q19:R19"/>
    <mergeCell ref="S19:T19"/>
    <mergeCell ref="L9:T9"/>
    <mergeCell ref="L11:M11"/>
    <mergeCell ref="Q11:R11"/>
    <mergeCell ref="L4:M4"/>
    <mergeCell ref="Q8:R8"/>
    <mergeCell ref="L12:M12"/>
    <mergeCell ref="Q12:R12"/>
    <mergeCell ref="L10:M10"/>
    <mergeCell ref="Q10:R10"/>
    <mergeCell ref="L8:M8"/>
    <mergeCell ref="A1:I1"/>
    <mergeCell ref="A9:I9"/>
    <mergeCell ref="G4:G5"/>
    <mergeCell ref="H4:H5"/>
    <mergeCell ref="I4:I5"/>
    <mergeCell ref="A2:I2"/>
    <mergeCell ref="A6:I6"/>
  </mergeCells>
  <conditionalFormatting sqref="F7">
    <cfRule type="cellIs" dxfId="2" priority="2" operator="lessThan">
      <formula>$B$7</formula>
    </cfRule>
  </conditionalFormatting>
  <conditionalFormatting sqref="F8">
    <cfRule type="cellIs" dxfId="1" priority="3" operator="lessThan">
      <formula>$B$8</formula>
    </cfRule>
  </conditionalFormatting>
  <conditionalFormatting sqref="H3">
    <cfRule type="cellIs" dxfId="0" priority="1" operator="greaterThan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91021C-2E47-4657-BCE8-168CAA064769}">
          <x14:formula1>
            <xm:f>'STD Vals'!$A$2:$A$7</xm:f>
          </x14:formula1>
          <xm:sqref>F7</xm:sqref>
        </x14:dataValidation>
        <x14:dataValidation type="list" allowBlank="1" showInputMessage="1" showErrorMessage="1" xr:uid="{FF8DF2DD-3322-4CD9-A70E-48373D3651AD}">
          <x14:formula1>
            <xm:f>'STD Vals'!$D$2:$D$5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0EFF-CA7D-43E8-9DBD-B81D0A0E4883}">
  <sheetPr codeName="Sheet2"/>
  <dimension ref="A1:S56"/>
  <sheetViews>
    <sheetView workbookViewId="0">
      <selection activeCell="B18" sqref="B18:D18"/>
    </sheetView>
  </sheetViews>
  <sheetFormatPr defaultRowHeight="14.4" x14ac:dyDescent="0.3"/>
  <cols>
    <col min="2" max="2" width="9.109375" customWidth="1"/>
    <col min="3" max="3" width="9.33203125" bestFit="1" customWidth="1"/>
    <col min="5" max="5" width="10.5546875" bestFit="1" customWidth="1"/>
  </cols>
  <sheetData>
    <row r="1" spans="1:19" ht="15" thickBot="1" x14ac:dyDescent="0.35">
      <c r="A1" s="112" t="s">
        <v>1</v>
      </c>
      <c r="B1" s="114" t="s">
        <v>65</v>
      </c>
      <c r="C1" s="115"/>
      <c r="D1" s="116"/>
      <c r="E1" s="1"/>
      <c r="F1" s="112" t="s">
        <v>1</v>
      </c>
      <c r="G1" s="114" t="s">
        <v>65</v>
      </c>
      <c r="H1" s="115"/>
      <c r="I1" s="116"/>
      <c r="J1" s="1"/>
      <c r="K1" s="112" t="s">
        <v>1</v>
      </c>
      <c r="L1" s="114" t="s">
        <v>65</v>
      </c>
      <c r="M1" s="115"/>
      <c r="N1" s="116"/>
      <c r="P1" s="112" t="s">
        <v>1</v>
      </c>
      <c r="Q1" s="114" t="s">
        <v>75</v>
      </c>
      <c r="R1" s="115"/>
      <c r="S1" s="116"/>
    </row>
    <row r="2" spans="1:19" ht="15" thickBot="1" x14ac:dyDescent="0.35">
      <c r="A2" s="113"/>
      <c r="B2" s="117" t="s">
        <v>72</v>
      </c>
      <c r="C2" s="118"/>
      <c r="D2" s="119"/>
      <c r="E2" s="73"/>
      <c r="F2" s="113"/>
      <c r="G2" s="117" t="s">
        <v>73</v>
      </c>
      <c r="H2" s="118"/>
      <c r="I2" s="119"/>
      <c r="J2" s="73"/>
      <c r="K2" s="113"/>
      <c r="L2" s="117" t="s">
        <v>74</v>
      </c>
      <c r="M2" s="118"/>
      <c r="N2" s="119"/>
      <c r="P2" s="113"/>
      <c r="Q2" s="117">
        <f>'RTD Data'!B4</f>
        <v>0</v>
      </c>
      <c r="R2" s="118"/>
      <c r="S2" s="119"/>
    </row>
    <row r="3" spans="1:19" x14ac:dyDescent="0.3">
      <c r="A3" s="74">
        <v>-200</v>
      </c>
      <c r="B3" s="120">
        <v>18.52</v>
      </c>
      <c r="C3" s="121"/>
      <c r="D3" s="122"/>
      <c r="E3" s="73"/>
      <c r="F3" s="74">
        <v>-200</v>
      </c>
      <c r="G3" s="120">
        <f>B3*5</f>
        <v>92.6</v>
      </c>
      <c r="H3" s="121"/>
      <c r="I3" s="122"/>
      <c r="J3" s="73"/>
      <c r="K3" s="74">
        <v>-200</v>
      </c>
      <c r="L3" s="120">
        <f>B3*10</f>
        <v>185.2</v>
      </c>
      <c r="M3" s="121"/>
      <c r="N3" s="122"/>
      <c r="P3" s="74">
        <v>-200</v>
      </c>
      <c r="Q3" s="120">
        <f>B3/100*$Q$2</f>
        <v>0</v>
      </c>
      <c r="R3" s="121"/>
      <c r="S3" s="122"/>
    </row>
    <row r="4" spans="1:19" x14ac:dyDescent="0.3">
      <c r="A4" s="75">
        <v>-190</v>
      </c>
      <c r="B4" s="106">
        <v>22.83</v>
      </c>
      <c r="C4" s="107"/>
      <c r="D4" s="108"/>
      <c r="E4" s="73"/>
      <c r="F4" s="75">
        <v>-190</v>
      </c>
      <c r="G4" s="123">
        <f t="shared" ref="G4:G55" si="0">B4*5</f>
        <v>114.14999999999999</v>
      </c>
      <c r="H4" s="124"/>
      <c r="I4" s="125"/>
      <c r="J4" s="73"/>
      <c r="K4" s="75">
        <v>-190</v>
      </c>
      <c r="L4" s="123">
        <f t="shared" ref="L4:L55" si="1">B4*10</f>
        <v>228.29999999999998</v>
      </c>
      <c r="M4" s="124"/>
      <c r="N4" s="125"/>
      <c r="P4" s="75">
        <v>-190</v>
      </c>
      <c r="Q4" s="123">
        <f t="shared" ref="Q4:Q55" si="2">B4/100*$Q$2</f>
        <v>0</v>
      </c>
      <c r="R4" s="124"/>
      <c r="S4" s="125"/>
    </row>
    <row r="5" spans="1:19" x14ac:dyDescent="0.3">
      <c r="A5" s="75">
        <v>-180</v>
      </c>
      <c r="B5" s="106">
        <v>27.1</v>
      </c>
      <c r="C5" s="107"/>
      <c r="D5" s="108"/>
      <c r="E5" s="73"/>
      <c r="F5" s="75">
        <v>-180</v>
      </c>
      <c r="G5" s="123">
        <f t="shared" si="0"/>
        <v>135.5</v>
      </c>
      <c r="H5" s="124"/>
      <c r="I5" s="125"/>
      <c r="J5" s="73"/>
      <c r="K5" s="75">
        <v>-180</v>
      </c>
      <c r="L5" s="123">
        <f t="shared" si="1"/>
        <v>271</v>
      </c>
      <c r="M5" s="124"/>
      <c r="N5" s="125"/>
      <c r="P5" s="75">
        <v>-180</v>
      </c>
      <c r="Q5" s="123">
        <f t="shared" si="2"/>
        <v>0</v>
      </c>
      <c r="R5" s="124"/>
      <c r="S5" s="125"/>
    </row>
    <row r="6" spans="1:19" x14ac:dyDescent="0.3">
      <c r="A6" s="75">
        <v>-170</v>
      </c>
      <c r="B6" s="106">
        <v>31.34</v>
      </c>
      <c r="C6" s="107"/>
      <c r="D6" s="108"/>
      <c r="E6" s="73"/>
      <c r="F6" s="75">
        <v>-170</v>
      </c>
      <c r="G6" s="123">
        <f t="shared" si="0"/>
        <v>156.69999999999999</v>
      </c>
      <c r="H6" s="124"/>
      <c r="I6" s="125"/>
      <c r="J6" s="73"/>
      <c r="K6" s="75">
        <v>-170</v>
      </c>
      <c r="L6" s="123">
        <f t="shared" si="1"/>
        <v>313.39999999999998</v>
      </c>
      <c r="M6" s="124"/>
      <c r="N6" s="125"/>
      <c r="P6" s="75">
        <v>-170</v>
      </c>
      <c r="Q6" s="123">
        <f t="shared" si="2"/>
        <v>0</v>
      </c>
      <c r="R6" s="124"/>
      <c r="S6" s="125"/>
    </row>
    <row r="7" spans="1:19" x14ac:dyDescent="0.3">
      <c r="A7" s="75">
        <v>-160</v>
      </c>
      <c r="B7" s="106">
        <v>35.54</v>
      </c>
      <c r="C7" s="107"/>
      <c r="D7" s="108"/>
      <c r="E7" s="73"/>
      <c r="F7" s="75">
        <v>-160</v>
      </c>
      <c r="G7" s="123">
        <f t="shared" si="0"/>
        <v>177.7</v>
      </c>
      <c r="H7" s="124"/>
      <c r="I7" s="125"/>
      <c r="J7" s="73"/>
      <c r="K7" s="75">
        <v>-160</v>
      </c>
      <c r="L7" s="123">
        <f t="shared" si="1"/>
        <v>355.4</v>
      </c>
      <c r="M7" s="124"/>
      <c r="N7" s="125"/>
      <c r="P7" s="75">
        <v>-160</v>
      </c>
      <c r="Q7" s="123">
        <f t="shared" si="2"/>
        <v>0</v>
      </c>
      <c r="R7" s="124"/>
      <c r="S7" s="125"/>
    </row>
    <row r="8" spans="1:19" x14ac:dyDescent="0.3">
      <c r="A8" s="75">
        <v>-150</v>
      </c>
      <c r="B8" s="106">
        <v>39.72</v>
      </c>
      <c r="C8" s="107"/>
      <c r="D8" s="108"/>
      <c r="E8" s="73"/>
      <c r="F8" s="75">
        <v>-150</v>
      </c>
      <c r="G8" s="123">
        <f t="shared" si="0"/>
        <v>198.6</v>
      </c>
      <c r="H8" s="124"/>
      <c r="I8" s="125"/>
      <c r="J8" s="73"/>
      <c r="K8" s="75">
        <v>-150</v>
      </c>
      <c r="L8" s="123">
        <f t="shared" si="1"/>
        <v>397.2</v>
      </c>
      <c r="M8" s="124"/>
      <c r="N8" s="125"/>
      <c r="P8" s="75">
        <v>-150</v>
      </c>
      <c r="Q8" s="123">
        <f t="shared" si="2"/>
        <v>0</v>
      </c>
      <c r="R8" s="124"/>
      <c r="S8" s="125"/>
    </row>
    <row r="9" spans="1:19" x14ac:dyDescent="0.3">
      <c r="A9" s="75">
        <v>-140</v>
      </c>
      <c r="B9" s="106">
        <v>43.88</v>
      </c>
      <c r="C9" s="107"/>
      <c r="D9" s="108"/>
      <c r="E9" s="73"/>
      <c r="F9" s="75">
        <v>-140</v>
      </c>
      <c r="G9" s="123">
        <f t="shared" si="0"/>
        <v>219.4</v>
      </c>
      <c r="H9" s="124"/>
      <c r="I9" s="125"/>
      <c r="J9" s="73"/>
      <c r="K9" s="75">
        <v>-140</v>
      </c>
      <c r="L9" s="123">
        <f t="shared" si="1"/>
        <v>438.8</v>
      </c>
      <c r="M9" s="124"/>
      <c r="N9" s="125"/>
      <c r="P9" s="75">
        <v>-140</v>
      </c>
      <c r="Q9" s="123">
        <f t="shared" si="2"/>
        <v>0</v>
      </c>
      <c r="R9" s="124"/>
      <c r="S9" s="125"/>
    </row>
    <row r="10" spans="1:19" x14ac:dyDescent="0.3">
      <c r="A10" s="75">
        <v>-130</v>
      </c>
      <c r="B10" s="106">
        <v>48</v>
      </c>
      <c r="C10" s="107"/>
      <c r="D10" s="108"/>
      <c r="E10" s="73"/>
      <c r="F10" s="75">
        <v>-130</v>
      </c>
      <c r="G10" s="123">
        <f t="shared" si="0"/>
        <v>240</v>
      </c>
      <c r="H10" s="124"/>
      <c r="I10" s="125"/>
      <c r="J10" s="73"/>
      <c r="K10" s="75">
        <v>-130</v>
      </c>
      <c r="L10" s="123">
        <f t="shared" si="1"/>
        <v>480</v>
      </c>
      <c r="M10" s="124"/>
      <c r="N10" s="125"/>
      <c r="P10" s="75">
        <v>-130</v>
      </c>
      <c r="Q10" s="123">
        <f t="shared" si="2"/>
        <v>0</v>
      </c>
      <c r="R10" s="124"/>
      <c r="S10" s="125"/>
    </row>
    <row r="11" spans="1:19" x14ac:dyDescent="0.3">
      <c r="A11" s="75">
        <v>-120</v>
      </c>
      <c r="B11" s="106">
        <v>52.11</v>
      </c>
      <c r="C11" s="107"/>
      <c r="D11" s="108"/>
      <c r="E11" s="73"/>
      <c r="F11" s="75">
        <v>-120</v>
      </c>
      <c r="G11" s="123">
        <f t="shared" si="0"/>
        <v>260.55</v>
      </c>
      <c r="H11" s="124"/>
      <c r="I11" s="125"/>
      <c r="J11" s="73"/>
      <c r="K11" s="75">
        <v>-120</v>
      </c>
      <c r="L11" s="123">
        <f t="shared" si="1"/>
        <v>521.1</v>
      </c>
      <c r="M11" s="124"/>
      <c r="N11" s="125"/>
      <c r="P11" s="75">
        <v>-120</v>
      </c>
      <c r="Q11" s="123">
        <f t="shared" si="2"/>
        <v>0</v>
      </c>
      <c r="R11" s="124"/>
      <c r="S11" s="125"/>
    </row>
    <row r="12" spans="1:19" x14ac:dyDescent="0.3">
      <c r="A12" s="75">
        <v>-110</v>
      </c>
      <c r="B12" s="106">
        <v>56.19</v>
      </c>
      <c r="C12" s="107"/>
      <c r="D12" s="108"/>
      <c r="E12" s="73"/>
      <c r="F12" s="75">
        <v>-110</v>
      </c>
      <c r="G12" s="123">
        <f t="shared" si="0"/>
        <v>280.95</v>
      </c>
      <c r="H12" s="124"/>
      <c r="I12" s="125"/>
      <c r="J12" s="73"/>
      <c r="K12" s="75">
        <v>-110</v>
      </c>
      <c r="L12" s="123">
        <f t="shared" si="1"/>
        <v>561.9</v>
      </c>
      <c r="M12" s="124"/>
      <c r="N12" s="125"/>
      <c r="P12" s="75">
        <v>-110</v>
      </c>
      <c r="Q12" s="123">
        <f t="shared" si="2"/>
        <v>0</v>
      </c>
      <c r="R12" s="124"/>
      <c r="S12" s="125"/>
    </row>
    <row r="13" spans="1:19" x14ac:dyDescent="0.3">
      <c r="A13" s="75">
        <v>-100</v>
      </c>
      <c r="B13" s="106">
        <v>60.26</v>
      </c>
      <c r="C13" s="107"/>
      <c r="D13" s="108"/>
      <c r="E13" s="73"/>
      <c r="F13" s="75">
        <v>-100</v>
      </c>
      <c r="G13" s="123">
        <f t="shared" si="0"/>
        <v>301.3</v>
      </c>
      <c r="H13" s="124"/>
      <c r="I13" s="125"/>
      <c r="J13" s="73"/>
      <c r="K13" s="75">
        <v>-100</v>
      </c>
      <c r="L13" s="123">
        <f t="shared" si="1"/>
        <v>602.6</v>
      </c>
      <c r="M13" s="124"/>
      <c r="N13" s="125"/>
      <c r="P13" s="75">
        <v>-100</v>
      </c>
      <c r="Q13" s="123">
        <f t="shared" si="2"/>
        <v>0</v>
      </c>
      <c r="R13" s="124"/>
      <c r="S13" s="125"/>
    </row>
    <row r="14" spans="1:19" x14ac:dyDescent="0.3">
      <c r="A14" s="75">
        <v>-90</v>
      </c>
      <c r="B14" s="106">
        <v>64.3</v>
      </c>
      <c r="C14" s="107"/>
      <c r="D14" s="108"/>
      <c r="E14" s="73"/>
      <c r="F14" s="75">
        <v>-90</v>
      </c>
      <c r="G14" s="123">
        <f t="shared" si="0"/>
        <v>321.5</v>
      </c>
      <c r="H14" s="124"/>
      <c r="I14" s="125"/>
      <c r="J14" s="73"/>
      <c r="K14" s="75">
        <v>-90</v>
      </c>
      <c r="L14" s="123">
        <f t="shared" si="1"/>
        <v>643</v>
      </c>
      <c r="M14" s="124"/>
      <c r="N14" s="125"/>
      <c r="P14" s="75">
        <v>-90</v>
      </c>
      <c r="Q14" s="123">
        <f t="shared" si="2"/>
        <v>0</v>
      </c>
      <c r="R14" s="124"/>
      <c r="S14" s="125"/>
    </row>
    <row r="15" spans="1:19" x14ac:dyDescent="0.3">
      <c r="A15" s="75">
        <v>-80</v>
      </c>
      <c r="B15" s="106">
        <v>68.33</v>
      </c>
      <c r="C15" s="107"/>
      <c r="D15" s="108"/>
      <c r="E15" s="73"/>
      <c r="F15" s="75">
        <v>-80</v>
      </c>
      <c r="G15" s="123">
        <f t="shared" si="0"/>
        <v>341.65</v>
      </c>
      <c r="H15" s="124"/>
      <c r="I15" s="125"/>
      <c r="J15" s="73"/>
      <c r="K15" s="75">
        <v>-80</v>
      </c>
      <c r="L15" s="123">
        <f t="shared" si="1"/>
        <v>683.3</v>
      </c>
      <c r="M15" s="124"/>
      <c r="N15" s="125"/>
      <c r="P15" s="75">
        <v>-80</v>
      </c>
      <c r="Q15" s="123">
        <f t="shared" si="2"/>
        <v>0</v>
      </c>
      <c r="R15" s="124"/>
      <c r="S15" s="125"/>
    </row>
    <row r="16" spans="1:19" x14ac:dyDescent="0.3">
      <c r="A16" s="75">
        <v>-70</v>
      </c>
      <c r="B16" s="106">
        <v>72.33</v>
      </c>
      <c r="C16" s="107"/>
      <c r="D16" s="108"/>
      <c r="E16" s="73"/>
      <c r="F16" s="75">
        <v>-70</v>
      </c>
      <c r="G16" s="123">
        <f t="shared" si="0"/>
        <v>361.65</v>
      </c>
      <c r="H16" s="124"/>
      <c r="I16" s="125"/>
      <c r="J16" s="73"/>
      <c r="K16" s="75">
        <v>-70</v>
      </c>
      <c r="L16" s="123">
        <f t="shared" si="1"/>
        <v>723.3</v>
      </c>
      <c r="M16" s="124"/>
      <c r="N16" s="125"/>
      <c r="P16" s="75">
        <v>-70</v>
      </c>
      <c r="Q16" s="123">
        <f t="shared" si="2"/>
        <v>0</v>
      </c>
      <c r="R16" s="124"/>
      <c r="S16" s="125"/>
    </row>
    <row r="17" spans="1:19" x14ac:dyDescent="0.3">
      <c r="A17" s="75">
        <v>-60</v>
      </c>
      <c r="B17" s="106">
        <v>76.33</v>
      </c>
      <c r="C17" s="107"/>
      <c r="D17" s="108"/>
      <c r="E17" s="76"/>
      <c r="F17" s="75">
        <v>-60</v>
      </c>
      <c r="G17" s="123">
        <f t="shared" si="0"/>
        <v>381.65</v>
      </c>
      <c r="H17" s="124"/>
      <c r="I17" s="125"/>
      <c r="J17" s="76"/>
      <c r="K17" s="75">
        <v>-60</v>
      </c>
      <c r="L17" s="123">
        <f t="shared" si="1"/>
        <v>763.3</v>
      </c>
      <c r="M17" s="124"/>
      <c r="N17" s="125"/>
      <c r="P17" s="75">
        <v>-60</v>
      </c>
      <c r="Q17" s="123">
        <f t="shared" si="2"/>
        <v>0</v>
      </c>
      <c r="R17" s="124"/>
      <c r="S17" s="125"/>
    </row>
    <row r="18" spans="1:19" x14ac:dyDescent="0.3">
      <c r="A18" s="75">
        <v>-50</v>
      </c>
      <c r="B18" s="106">
        <v>80.31</v>
      </c>
      <c r="C18" s="107"/>
      <c r="D18" s="108"/>
      <c r="E18" s="76"/>
      <c r="F18" s="75">
        <v>-50</v>
      </c>
      <c r="G18" s="123">
        <f t="shared" si="0"/>
        <v>401.55</v>
      </c>
      <c r="H18" s="124"/>
      <c r="I18" s="125"/>
      <c r="J18" s="76"/>
      <c r="K18" s="75">
        <v>-50</v>
      </c>
      <c r="L18" s="123">
        <f t="shared" si="1"/>
        <v>803.1</v>
      </c>
      <c r="M18" s="124"/>
      <c r="N18" s="125"/>
      <c r="P18" s="75">
        <v>-50</v>
      </c>
      <c r="Q18" s="123">
        <f t="shared" si="2"/>
        <v>0</v>
      </c>
      <c r="R18" s="124"/>
      <c r="S18" s="125"/>
    </row>
    <row r="19" spans="1:19" x14ac:dyDescent="0.3">
      <c r="A19" s="75">
        <v>-40</v>
      </c>
      <c r="B19" s="106">
        <v>84.27</v>
      </c>
      <c r="C19" s="107"/>
      <c r="D19" s="108"/>
      <c r="E19" s="76"/>
      <c r="F19" s="75">
        <v>-40</v>
      </c>
      <c r="G19" s="123">
        <f t="shared" si="0"/>
        <v>421.34999999999997</v>
      </c>
      <c r="H19" s="124"/>
      <c r="I19" s="125"/>
      <c r="J19" s="76"/>
      <c r="K19" s="75">
        <v>-40</v>
      </c>
      <c r="L19" s="123">
        <f t="shared" si="1"/>
        <v>842.69999999999993</v>
      </c>
      <c r="M19" s="124"/>
      <c r="N19" s="125"/>
      <c r="P19" s="75">
        <v>-40</v>
      </c>
      <c r="Q19" s="123">
        <f t="shared" si="2"/>
        <v>0</v>
      </c>
      <c r="R19" s="124"/>
      <c r="S19" s="125"/>
    </row>
    <row r="20" spans="1:19" x14ac:dyDescent="0.3">
      <c r="A20" s="75">
        <v>-30</v>
      </c>
      <c r="B20" s="106">
        <v>88.22</v>
      </c>
      <c r="C20" s="107"/>
      <c r="D20" s="108"/>
      <c r="E20" s="76"/>
      <c r="F20" s="75">
        <v>-30</v>
      </c>
      <c r="G20" s="123">
        <f t="shared" si="0"/>
        <v>441.1</v>
      </c>
      <c r="H20" s="124"/>
      <c r="I20" s="125"/>
      <c r="J20" s="76"/>
      <c r="K20" s="75">
        <v>-30</v>
      </c>
      <c r="L20" s="123">
        <f t="shared" si="1"/>
        <v>882.2</v>
      </c>
      <c r="M20" s="124"/>
      <c r="N20" s="125"/>
      <c r="P20" s="75">
        <v>-30</v>
      </c>
      <c r="Q20" s="123">
        <f t="shared" si="2"/>
        <v>0</v>
      </c>
      <c r="R20" s="124"/>
      <c r="S20" s="125"/>
    </row>
    <row r="21" spans="1:19" x14ac:dyDescent="0.3">
      <c r="A21" s="75">
        <v>-20</v>
      </c>
      <c r="B21" s="106">
        <v>92.16</v>
      </c>
      <c r="C21" s="107"/>
      <c r="D21" s="108"/>
      <c r="E21" s="76"/>
      <c r="F21" s="75">
        <v>-20</v>
      </c>
      <c r="G21" s="123">
        <f t="shared" si="0"/>
        <v>460.79999999999995</v>
      </c>
      <c r="H21" s="124"/>
      <c r="I21" s="125"/>
      <c r="J21" s="76"/>
      <c r="K21" s="75">
        <v>-20</v>
      </c>
      <c r="L21" s="123">
        <f t="shared" si="1"/>
        <v>921.59999999999991</v>
      </c>
      <c r="M21" s="124"/>
      <c r="N21" s="125"/>
      <c r="P21" s="75">
        <v>-20</v>
      </c>
      <c r="Q21" s="123">
        <f t="shared" si="2"/>
        <v>0</v>
      </c>
      <c r="R21" s="124"/>
      <c r="S21" s="125"/>
    </row>
    <row r="22" spans="1:19" x14ac:dyDescent="0.3">
      <c r="A22" s="75">
        <v>-10</v>
      </c>
      <c r="B22" s="106">
        <v>96.09</v>
      </c>
      <c r="C22" s="107"/>
      <c r="D22" s="108"/>
      <c r="E22" s="76"/>
      <c r="F22" s="75">
        <v>-10</v>
      </c>
      <c r="G22" s="123">
        <f t="shared" si="0"/>
        <v>480.45000000000005</v>
      </c>
      <c r="H22" s="124"/>
      <c r="I22" s="125"/>
      <c r="J22" s="76"/>
      <c r="K22" s="75">
        <v>-10</v>
      </c>
      <c r="L22" s="123">
        <f t="shared" si="1"/>
        <v>960.90000000000009</v>
      </c>
      <c r="M22" s="124"/>
      <c r="N22" s="125"/>
      <c r="P22" s="75">
        <v>-10</v>
      </c>
      <c r="Q22" s="123">
        <f t="shared" si="2"/>
        <v>0</v>
      </c>
      <c r="R22" s="124"/>
      <c r="S22" s="125"/>
    </row>
    <row r="23" spans="1:19" x14ac:dyDescent="0.3">
      <c r="A23" s="77">
        <v>0</v>
      </c>
      <c r="B23" s="106">
        <v>100</v>
      </c>
      <c r="C23" s="107"/>
      <c r="D23" s="108"/>
      <c r="E23" s="76"/>
      <c r="F23" s="77">
        <v>0</v>
      </c>
      <c r="G23" s="123">
        <f t="shared" si="0"/>
        <v>500</v>
      </c>
      <c r="H23" s="124"/>
      <c r="I23" s="125"/>
      <c r="J23" s="76"/>
      <c r="K23" s="77">
        <v>0</v>
      </c>
      <c r="L23" s="123">
        <f t="shared" si="1"/>
        <v>1000</v>
      </c>
      <c r="M23" s="124"/>
      <c r="N23" s="125"/>
      <c r="P23" s="77">
        <v>0</v>
      </c>
      <c r="Q23" s="123">
        <f t="shared" si="2"/>
        <v>0</v>
      </c>
      <c r="R23" s="124"/>
      <c r="S23" s="125"/>
    </row>
    <row r="24" spans="1:19" x14ac:dyDescent="0.3">
      <c r="A24" s="77">
        <v>10</v>
      </c>
      <c r="B24" s="106">
        <v>103.9</v>
      </c>
      <c r="C24" s="107"/>
      <c r="D24" s="108"/>
      <c r="E24" s="76"/>
      <c r="F24" s="77">
        <v>10</v>
      </c>
      <c r="G24" s="123">
        <f t="shared" si="0"/>
        <v>519.5</v>
      </c>
      <c r="H24" s="124"/>
      <c r="I24" s="125"/>
      <c r="J24" s="76"/>
      <c r="K24" s="77">
        <v>10</v>
      </c>
      <c r="L24" s="123">
        <f t="shared" si="1"/>
        <v>1039</v>
      </c>
      <c r="M24" s="124"/>
      <c r="N24" s="125"/>
      <c r="P24" s="77">
        <v>10</v>
      </c>
      <c r="Q24" s="123">
        <f t="shared" si="2"/>
        <v>0</v>
      </c>
      <c r="R24" s="124"/>
      <c r="S24" s="125"/>
    </row>
    <row r="25" spans="1:19" x14ac:dyDescent="0.3">
      <c r="A25" s="77">
        <v>20</v>
      </c>
      <c r="B25" s="106">
        <v>107.79</v>
      </c>
      <c r="C25" s="107"/>
      <c r="D25" s="108"/>
      <c r="E25" s="76"/>
      <c r="F25" s="77">
        <v>20</v>
      </c>
      <c r="G25" s="123">
        <f t="shared" si="0"/>
        <v>538.95000000000005</v>
      </c>
      <c r="H25" s="124"/>
      <c r="I25" s="125"/>
      <c r="J25" s="76"/>
      <c r="K25" s="77">
        <v>20</v>
      </c>
      <c r="L25" s="123">
        <f t="shared" si="1"/>
        <v>1077.9000000000001</v>
      </c>
      <c r="M25" s="124"/>
      <c r="N25" s="125"/>
      <c r="P25" s="77">
        <v>20</v>
      </c>
      <c r="Q25" s="123">
        <f t="shared" si="2"/>
        <v>0</v>
      </c>
      <c r="R25" s="124"/>
      <c r="S25" s="125"/>
    </row>
    <row r="26" spans="1:19" x14ac:dyDescent="0.3">
      <c r="A26" s="77">
        <v>30</v>
      </c>
      <c r="B26" s="106">
        <v>111.67</v>
      </c>
      <c r="C26" s="107"/>
      <c r="D26" s="108"/>
      <c r="E26" s="76"/>
      <c r="F26" s="77">
        <v>30</v>
      </c>
      <c r="G26" s="123">
        <f t="shared" si="0"/>
        <v>558.35</v>
      </c>
      <c r="H26" s="124"/>
      <c r="I26" s="125"/>
      <c r="J26" s="76"/>
      <c r="K26" s="77">
        <v>30</v>
      </c>
      <c r="L26" s="123">
        <f t="shared" si="1"/>
        <v>1116.7</v>
      </c>
      <c r="M26" s="124"/>
      <c r="N26" s="125"/>
      <c r="P26" s="77">
        <v>30</v>
      </c>
      <c r="Q26" s="123">
        <f t="shared" si="2"/>
        <v>0</v>
      </c>
      <c r="R26" s="124"/>
      <c r="S26" s="125"/>
    </row>
    <row r="27" spans="1:19" x14ac:dyDescent="0.3">
      <c r="A27" s="77">
        <v>40</v>
      </c>
      <c r="B27" s="106">
        <v>115.54</v>
      </c>
      <c r="C27" s="107"/>
      <c r="D27" s="108"/>
      <c r="E27" s="76"/>
      <c r="F27" s="77">
        <v>40</v>
      </c>
      <c r="G27" s="123">
        <f t="shared" si="0"/>
        <v>577.70000000000005</v>
      </c>
      <c r="H27" s="124"/>
      <c r="I27" s="125"/>
      <c r="J27" s="76"/>
      <c r="K27" s="77">
        <v>40</v>
      </c>
      <c r="L27" s="123">
        <f t="shared" si="1"/>
        <v>1155.4000000000001</v>
      </c>
      <c r="M27" s="124"/>
      <c r="N27" s="125"/>
      <c r="P27" s="77">
        <v>40</v>
      </c>
      <c r="Q27" s="123">
        <f t="shared" si="2"/>
        <v>0</v>
      </c>
      <c r="R27" s="124"/>
      <c r="S27" s="125"/>
    </row>
    <row r="28" spans="1:19" x14ac:dyDescent="0.3">
      <c r="A28" s="77">
        <v>50</v>
      </c>
      <c r="B28" s="106">
        <v>119.4</v>
      </c>
      <c r="C28" s="107"/>
      <c r="D28" s="108"/>
      <c r="E28" s="76"/>
      <c r="F28" s="77">
        <v>50</v>
      </c>
      <c r="G28" s="123">
        <f t="shared" si="0"/>
        <v>597</v>
      </c>
      <c r="H28" s="124"/>
      <c r="I28" s="125"/>
      <c r="J28" s="76"/>
      <c r="K28" s="77">
        <v>50</v>
      </c>
      <c r="L28" s="123">
        <f t="shared" si="1"/>
        <v>1194</v>
      </c>
      <c r="M28" s="124"/>
      <c r="N28" s="125"/>
      <c r="P28" s="77">
        <v>50</v>
      </c>
      <c r="Q28" s="123">
        <f t="shared" si="2"/>
        <v>0</v>
      </c>
      <c r="R28" s="124"/>
      <c r="S28" s="125"/>
    </row>
    <row r="29" spans="1:19" x14ac:dyDescent="0.3">
      <c r="A29" s="77">
        <v>60</v>
      </c>
      <c r="B29" s="106">
        <v>123.24</v>
      </c>
      <c r="C29" s="107"/>
      <c r="D29" s="108"/>
      <c r="E29" s="76"/>
      <c r="F29" s="77">
        <v>60</v>
      </c>
      <c r="G29" s="123">
        <f t="shared" si="0"/>
        <v>616.19999999999993</v>
      </c>
      <c r="H29" s="124"/>
      <c r="I29" s="125"/>
      <c r="J29" s="76"/>
      <c r="K29" s="77">
        <v>60</v>
      </c>
      <c r="L29" s="123">
        <f t="shared" si="1"/>
        <v>1232.3999999999999</v>
      </c>
      <c r="M29" s="124"/>
      <c r="N29" s="125"/>
      <c r="P29" s="77">
        <v>60</v>
      </c>
      <c r="Q29" s="123">
        <f t="shared" si="2"/>
        <v>0</v>
      </c>
      <c r="R29" s="124"/>
      <c r="S29" s="125"/>
    </row>
    <row r="30" spans="1:19" x14ac:dyDescent="0.3">
      <c r="A30" s="77">
        <v>70</v>
      </c>
      <c r="B30" s="106">
        <v>127.08</v>
      </c>
      <c r="C30" s="107"/>
      <c r="D30" s="108"/>
      <c r="E30" s="76"/>
      <c r="F30" s="77">
        <v>70</v>
      </c>
      <c r="G30" s="123">
        <f t="shared" si="0"/>
        <v>635.4</v>
      </c>
      <c r="H30" s="124"/>
      <c r="I30" s="125"/>
      <c r="J30" s="76"/>
      <c r="K30" s="77">
        <v>70</v>
      </c>
      <c r="L30" s="123">
        <f t="shared" si="1"/>
        <v>1270.8</v>
      </c>
      <c r="M30" s="124"/>
      <c r="N30" s="125"/>
      <c r="P30" s="77">
        <v>70</v>
      </c>
      <c r="Q30" s="123">
        <f t="shared" si="2"/>
        <v>0</v>
      </c>
      <c r="R30" s="124"/>
      <c r="S30" s="125"/>
    </row>
    <row r="31" spans="1:19" x14ac:dyDescent="0.3">
      <c r="A31" s="77">
        <v>80</v>
      </c>
      <c r="B31" s="106">
        <v>130.9</v>
      </c>
      <c r="C31" s="107"/>
      <c r="D31" s="108"/>
      <c r="E31" s="76"/>
      <c r="F31" s="77">
        <v>80</v>
      </c>
      <c r="G31" s="123">
        <f t="shared" si="0"/>
        <v>654.5</v>
      </c>
      <c r="H31" s="124"/>
      <c r="I31" s="125"/>
      <c r="J31" s="76"/>
      <c r="K31" s="77">
        <v>80</v>
      </c>
      <c r="L31" s="123">
        <f t="shared" si="1"/>
        <v>1309</v>
      </c>
      <c r="M31" s="124"/>
      <c r="N31" s="125"/>
      <c r="P31" s="77">
        <v>80</v>
      </c>
      <c r="Q31" s="123">
        <f t="shared" si="2"/>
        <v>0</v>
      </c>
      <c r="R31" s="124"/>
      <c r="S31" s="125"/>
    </row>
    <row r="32" spans="1:19" x14ac:dyDescent="0.3">
      <c r="A32" s="77">
        <v>90</v>
      </c>
      <c r="B32" s="106">
        <v>134.71</v>
      </c>
      <c r="C32" s="107"/>
      <c r="D32" s="108"/>
      <c r="E32" s="76"/>
      <c r="F32" s="77">
        <v>90</v>
      </c>
      <c r="G32" s="123">
        <f t="shared" si="0"/>
        <v>673.55000000000007</v>
      </c>
      <c r="H32" s="124"/>
      <c r="I32" s="125"/>
      <c r="J32" s="76"/>
      <c r="K32" s="77">
        <v>90</v>
      </c>
      <c r="L32" s="123">
        <f t="shared" si="1"/>
        <v>1347.1000000000001</v>
      </c>
      <c r="M32" s="124"/>
      <c r="N32" s="125"/>
      <c r="P32" s="77">
        <v>90</v>
      </c>
      <c r="Q32" s="123">
        <f t="shared" si="2"/>
        <v>0</v>
      </c>
      <c r="R32" s="124"/>
      <c r="S32" s="125"/>
    </row>
    <row r="33" spans="1:19" x14ac:dyDescent="0.3">
      <c r="A33" s="77">
        <v>100</v>
      </c>
      <c r="B33" s="106">
        <v>138.51</v>
      </c>
      <c r="C33" s="107"/>
      <c r="D33" s="108"/>
      <c r="E33" s="76"/>
      <c r="F33" s="77">
        <v>100</v>
      </c>
      <c r="G33" s="123">
        <f t="shared" si="0"/>
        <v>692.55</v>
      </c>
      <c r="H33" s="124"/>
      <c r="I33" s="125"/>
      <c r="J33" s="76"/>
      <c r="K33" s="77">
        <v>100</v>
      </c>
      <c r="L33" s="123">
        <f t="shared" si="1"/>
        <v>1385.1</v>
      </c>
      <c r="M33" s="124"/>
      <c r="N33" s="125"/>
      <c r="P33" s="77">
        <v>100</v>
      </c>
      <c r="Q33" s="123">
        <f t="shared" si="2"/>
        <v>0</v>
      </c>
      <c r="R33" s="124"/>
      <c r="S33" s="125"/>
    </row>
    <row r="34" spans="1:19" x14ac:dyDescent="0.3">
      <c r="A34" s="77">
        <v>110</v>
      </c>
      <c r="B34" s="106">
        <v>142.29</v>
      </c>
      <c r="C34" s="107"/>
      <c r="D34" s="108"/>
      <c r="E34" s="76"/>
      <c r="F34" s="77">
        <v>110</v>
      </c>
      <c r="G34" s="123">
        <f t="shared" si="0"/>
        <v>711.44999999999993</v>
      </c>
      <c r="H34" s="124"/>
      <c r="I34" s="125"/>
      <c r="J34" s="76"/>
      <c r="K34" s="77">
        <v>110</v>
      </c>
      <c r="L34" s="123">
        <f t="shared" si="1"/>
        <v>1422.8999999999999</v>
      </c>
      <c r="M34" s="124"/>
      <c r="N34" s="125"/>
      <c r="P34" s="77">
        <v>110</v>
      </c>
      <c r="Q34" s="123">
        <f t="shared" si="2"/>
        <v>0</v>
      </c>
      <c r="R34" s="124"/>
      <c r="S34" s="125"/>
    </row>
    <row r="35" spans="1:19" x14ac:dyDescent="0.3">
      <c r="A35" s="77">
        <v>120</v>
      </c>
      <c r="B35" s="106">
        <v>146.07</v>
      </c>
      <c r="C35" s="107"/>
      <c r="D35" s="108"/>
      <c r="E35" s="76"/>
      <c r="F35" s="77">
        <v>120</v>
      </c>
      <c r="G35" s="123">
        <f t="shared" si="0"/>
        <v>730.34999999999991</v>
      </c>
      <c r="H35" s="124"/>
      <c r="I35" s="125"/>
      <c r="J35" s="76"/>
      <c r="K35" s="77">
        <v>120</v>
      </c>
      <c r="L35" s="123">
        <f t="shared" si="1"/>
        <v>1460.6999999999998</v>
      </c>
      <c r="M35" s="124"/>
      <c r="N35" s="125"/>
      <c r="P35" s="77">
        <v>120</v>
      </c>
      <c r="Q35" s="123">
        <f t="shared" si="2"/>
        <v>0</v>
      </c>
      <c r="R35" s="124"/>
      <c r="S35" s="125"/>
    </row>
    <row r="36" spans="1:19" x14ac:dyDescent="0.3">
      <c r="A36" s="77">
        <v>130</v>
      </c>
      <c r="B36" s="106">
        <v>149.83000000000001</v>
      </c>
      <c r="C36" s="107"/>
      <c r="D36" s="108"/>
      <c r="E36" s="76"/>
      <c r="F36" s="77">
        <v>130</v>
      </c>
      <c r="G36" s="123">
        <f t="shared" si="0"/>
        <v>749.15000000000009</v>
      </c>
      <c r="H36" s="124"/>
      <c r="I36" s="125"/>
      <c r="J36" s="76"/>
      <c r="K36" s="77">
        <v>130</v>
      </c>
      <c r="L36" s="123">
        <f t="shared" si="1"/>
        <v>1498.3000000000002</v>
      </c>
      <c r="M36" s="124"/>
      <c r="N36" s="125"/>
      <c r="P36" s="77">
        <v>130</v>
      </c>
      <c r="Q36" s="123">
        <f t="shared" si="2"/>
        <v>0</v>
      </c>
      <c r="R36" s="124"/>
      <c r="S36" s="125"/>
    </row>
    <row r="37" spans="1:19" x14ac:dyDescent="0.3">
      <c r="A37" s="77">
        <v>140</v>
      </c>
      <c r="B37" s="106">
        <v>153.58000000000001</v>
      </c>
      <c r="C37" s="107"/>
      <c r="D37" s="108"/>
      <c r="E37" s="76"/>
      <c r="F37" s="77">
        <v>140</v>
      </c>
      <c r="G37" s="123">
        <f t="shared" si="0"/>
        <v>767.90000000000009</v>
      </c>
      <c r="H37" s="124"/>
      <c r="I37" s="125"/>
      <c r="J37" s="76"/>
      <c r="K37" s="77">
        <v>140</v>
      </c>
      <c r="L37" s="123">
        <f t="shared" si="1"/>
        <v>1535.8000000000002</v>
      </c>
      <c r="M37" s="124"/>
      <c r="N37" s="125"/>
      <c r="P37" s="77">
        <v>140</v>
      </c>
      <c r="Q37" s="123">
        <f t="shared" si="2"/>
        <v>0</v>
      </c>
      <c r="R37" s="124"/>
      <c r="S37" s="125"/>
    </row>
    <row r="38" spans="1:19" x14ac:dyDescent="0.3">
      <c r="A38" s="77">
        <v>150</v>
      </c>
      <c r="B38" s="106">
        <v>157.33000000000001</v>
      </c>
      <c r="C38" s="107"/>
      <c r="D38" s="108"/>
      <c r="E38" s="76"/>
      <c r="F38" s="77">
        <v>150</v>
      </c>
      <c r="G38" s="123">
        <f t="shared" si="0"/>
        <v>786.65000000000009</v>
      </c>
      <c r="H38" s="124"/>
      <c r="I38" s="125"/>
      <c r="J38" s="76"/>
      <c r="K38" s="77">
        <v>150</v>
      </c>
      <c r="L38" s="123">
        <f t="shared" si="1"/>
        <v>1573.3000000000002</v>
      </c>
      <c r="M38" s="124"/>
      <c r="N38" s="125"/>
      <c r="P38" s="77">
        <v>150</v>
      </c>
      <c r="Q38" s="123">
        <f t="shared" si="2"/>
        <v>0</v>
      </c>
      <c r="R38" s="124"/>
      <c r="S38" s="125"/>
    </row>
    <row r="39" spans="1:19" x14ac:dyDescent="0.3">
      <c r="A39" s="77">
        <v>160</v>
      </c>
      <c r="B39" s="106">
        <v>161.05000000000001</v>
      </c>
      <c r="C39" s="107"/>
      <c r="D39" s="108"/>
      <c r="E39" s="76"/>
      <c r="F39" s="77">
        <v>160</v>
      </c>
      <c r="G39" s="123">
        <f t="shared" si="0"/>
        <v>805.25</v>
      </c>
      <c r="H39" s="124"/>
      <c r="I39" s="125"/>
      <c r="J39" s="76"/>
      <c r="K39" s="77">
        <v>160</v>
      </c>
      <c r="L39" s="123">
        <f t="shared" si="1"/>
        <v>1610.5</v>
      </c>
      <c r="M39" s="124"/>
      <c r="N39" s="125"/>
      <c r="P39" s="77">
        <v>160</v>
      </c>
      <c r="Q39" s="123">
        <f t="shared" si="2"/>
        <v>0</v>
      </c>
      <c r="R39" s="124"/>
      <c r="S39" s="125"/>
    </row>
    <row r="40" spans="1:19" x14ac:dyDescent="0.3">
      <c r="A40" s="77">
        <v>170</v>
      </c>
      <c r="B40" s="106">
        <v>164.77</v>
      </c>
      <c r="C40" s="107"/>
      <c r="D40" s="108"/>
      <c r="E40" s="76"/>
      <c r="F40" s="77">
        <v>170</v>
      </c>
      <c r="G40" s="123">
        <f t="shared" si="0"/>
        <v>823.85</v>
      </c>
      <c r="H40" s="124"/>
      <c r="I40" s="125"/>
      <c r="J40" s="76"/>
      <c r="K40" s="77">
        <v>170</v>
      </c>
      <c r="L40" s="123">
        <f t="shared" si="1"/>
        <v>1647.7</v>
      </c>
      <c r="M40" s="124"/>
      <c r="N40" s="125"/>
      <c r="P40" s="77">
        <v>170</v>
      </c>
      <c r="Q40" s="123">
        <f t="shared" si="2"/>
        <v>0</v>
      </c>
      <c r="R40" s="124"/>
      <c r="S40" s="125"/>
    </row>
    <row r="41" spans="1:19" x14ac:dyDescent="0.3">
      <c r="A41" s="77">
        <v>180</v>
      </c>
      <c r="B41" s="106">
        <v>168.48</v>
      </c>
      <c r="C41" s="107"/>
      <c r="D41" s="108"/>
      <c r="E41" s="76"/>
      <c r="F41" s="77">
        <v>180</v>
      </c>
      <c r="G41" s="123">
        <f t="shared" si="0"/>
        <v>842.4</v>
      </c>
      <c r="H41" s="124"/>
      <c r="I41" s="125"/>
      <c r="J41" s="76"/>
      <c r="K41" s="77">
        <v>180</v>
      </c>
      <c r="L41" s="123">
        <f t="shared" si="1"/>
        <v>1684.8</v>
      </c>
      <c r="M41" s="124"/>
      <c r="N41" s="125"/>
      <c r="P41" s="77">
        <v>180</v>
      </c>
      <c r="Q41" s="123">
        <f t="shared" si="2"/>
        <v>0</v>
      </c>
      <c r="R41" s="124"/>
      <c r="S41" s="125"/>
    </row>
    <row r="42" spans="1:19" x14ac:dyDescent="0.3">
      <c r="A42" s="77">
        <v>190</v>
      </c>
      <c r="B42" s="106">
        <v>172.17</v>
      </c>
      <c r="C42" s="107"/>
      <c r="D42" s="108"/>
      <c r="E42" s="76"/>
      <c r="F42" s="77">
        <v>190</v>
      </c>
      <c r="G42" s="123">
        <f t="shared" si="0"/>
        <v>860.84999999999991</v>
      </c>
      <c r="H42" s="124"/>
      <c r="I42" s="125"/>
      <c r="J42" s="76"/>
      <c r="K42" s="77">
        <v>190</v>
      </c>
      <c r="L42" s="123">
        <f t="shared" si="1"/>
        <v>1721.6999999999998</v>
      </c>
      <c r="M42" s="124"/>
      <c r="N42" s="125"/>
      <c r="P42" s="77">
        <v>190</v>
      </c>
      <c r="Q42" s="123">
        <f t="shared" si="2"/>
        <v>0</v>
      </c>
      <c r="R42" s="124"/>
      <c r="S42" s="125"/>
    </row>
    <row r="43" spans="1:19" x14ac:dyDescent="0.3">
      <c r="A43" s="77">
        <v>200</v>
      </c>
      <c r="B43" s="106">
        <v>175.86</v>
      </c>
      <c r="C43" s="107"/>
      <c r="D43" s="108"/>
      <c r="E43" s="76"/>
      <c r="F43" s="77">
        <v>200</v>
      </c>
      <c r="G43" s="123">
        <f t="shared" si="0"/>
        <v>879.30000000000007</v>
      </c>
      <c r="H43" s="124"/>
      <c r="I43" s="125"/>
      <c r="J43" s="76"/>
      <c r="K43" s="77">
        <v>200</v>
      </c>
      <c r="L43" s="123">
        <f t="shared" si="1"/>
        <v>1758.6000000000001</v>
      </c>
      <c r="M43" s="124"/>
      <c r="N43" s="125"/>
      <c r="P43" s="77">
        <v>200</v>
      </c>
      <c r="Q43" s="123">
        <f t="shared" si="2"/>
        <v>0</v>
      </c>
      <c r="R43" s="124"/>
      <c r="S43" s="125"/>
    </row>
    <row r="44" spans="1:19" x14ac:dyDescent="0.3">
      <c r="A44" s="77">
        <v>210</v>
      </c>
      <c r="B44" s="106">
        <v>179.53</v>
      </c>
      <c r="C44" s="107"/>
      <c r="D44" s="108"/>
      <c r="E44" s="76"/>
      <c r="F44" s="77">
        <v>210</v>
      </c>
      <c r="G44" s="123">
        <f t="shared" si="0"/>
        <v>897.65</v>
      </c>
      <c r="H44" s="124"/>
      <c r="I44" s="125"/>
      <c r="J44" s="76"/>
      <c r="K44" s="77">
        <v>210</v>
      </c>
      <c r="L44" s="123">
        <f t="shared" si="1"/>
        <v>1795.3</v>
      </c>
      <c r="M44" s="124"/>
      <c r="N44" s="125"/>
      <c r="P44" s="77">
        <v>210</v>
      </c>
      <c r="Q44" s="123">
        <f t="shared" si="2"/>
        <v>0</v>
      </c>
      <c r="R44" s="124"/>
      <c r="S44" s="125"/>
    </row>
    <row r="45" spans="1:19" x14ac:dyDescent="0.3">
      <c r="A45" s="77">
        <v>220</v>
      </c>
      <c r="B45" s="106">
        <v>183.19</v>
      </c>
      <c r="C45" s="107"/>
      <c r="D45" s="108"/>
      <c r="E45" s="76"/>
      <c r="F45" s="77">
        <v>220</v>
      </c>
      <c r="G45" s="123">
        <f t="shared" si="0"/>
        <v>915.95</v>
      </c>
      <c r="H45" s="124"/>
      <c r="I45" s="125"/>
      <c r="J45" s="76"/>
      <c r="K45" s="77">
        <v>220</v>
      </c>
      <c r="L45" s="123">
        <f t="shared" si="1"/>
        <v>1831.9</v>
      </c>
      <c r="M45" s="124"/>
      <c r="N45" s="125"/>
      <c r="P45" s="77">
        <v>220</v>
      </c>
      <c r="Q45" s="123">
        <f t="shared" si="2"/>
        <v>0</v>
      </c>
      <c r="R45" s="124"/>
      <c r="S45" s="125"/>
    </row>
    <row r="46" spans="1:19" x14ac:dyDescent="0.3">
      <c r="A46" s="77">
        <v>230</v>
      </c>
      <c r="B46" s="106">
        <v>186.84</v>
      </c>
      <c r="C46" s="107"/>
      <c r="D46" s="108"/>
      <c r="E46" s="76"/>
      <c r="F46" s="77">
        <v>230</v>
      </c>
      <c r="G46" s="123">
        <f t="shared" si="0"/>
        <v>934.2</v>
      </c>
      <c r="H46" s="124"/>
      <c r="I46" s="125"/>
      <c r="J46" s="76"/>
      <c r="K46" s="77">
        <v>230</v>
      </c>
      <c r="L46" s="123">
        <f t="shared" si="1"/>
        <v>1868.4</v>
      </c>
      <c r="M46" s="124"/>
      <c r="N46" s="125"/>
      <c r="P46" s="77">
        <v>230</v>
      </c>
      <c r="Q46" s="123">
        <f t="shared" si="2"/>
        <v>0</v>
      </c>
      <c r="R46" s="124"/>
      <c r="S46" s="125"/>
    </row>
    <row r="47" spans="1:19" x14ac:dyDescent="0.3">
      <c r="A47" s="77">
        <v>240</v>
      </c>
      <c r="B47" s="106">
        <v>190.47</v>
      </c>
      <c r="C47" s="107"/>
      <c r="D47" s="108"/>
      <c r="E47" s="76"/>
      <c r="F47" s="77">
        <v>240</v>
      </c>
      <c r="G47" s="123">
        <f t="shared" si="0"/>
        <v>952.35</v>
      </c>
      <c r="H47" s="124"/>
      <c r="I47" s="125"/>
      <c r="J47" s="76"/>
      <c r="K47" s="77">
        <v>240</v>
      </c>
      <c r="L47" s="123">
        <f t="shared" si="1"/>
        <v>1904.7</v>
      </c>
      <c r="M47" s="124"/>
      <c r="N47" s="125"/>
      <c r="P47" s="77">
        <v>240</v>
      </c>
      <c r="Q47" s="123">
        <f t="shared" si="2"/>
        <v>0</v>
      </c>
      <c r="R47" s="124"/>
      <c r="S47" s="125"/>
    </row>
    <row r="48" spans="1:19" x14ac:dyDescent="0.3">
      <c r="A48" s="77">
        <v>250</v>
      </c>
      <c r="B48" s="106">
        <v>194.1</v>
      </c>
      <c r="C48" s="107"/>
      <c r="D48" s="108"/>
      <c r="E48" s="76"/>
      <c r="F48" s="77">
        <v>250</v>
      </c>
      <c r="G48" s="123">
        <f t="shared" si="0"/>
        <v>970.5</v>
      </c>
      <c r="H48" s="124"/>
      <c r="I48" s="125"/>
      <c r="J48" s="76"/>
      <c r="K48" s="77">
        <v>250</v>
      </c>
      <c r="L48" s="123">
        <f t="shared" si="1"/>
        <v>1941</v>
      </c>
      <c r="M48" s="124"/>
      <c r="N48" s="125"/>
      <c r="P48" s="77">
        <v>250</v>
      </c>
      <c r="Q48" s="123">
        <f t="shared" si="2"/>
        <v>0</v>
      </c>
      <c r="R48" s="124"/>
      <c r="S48" s="125"/>
    </row>
    <row r="49" spans="1:19" x14ac:dyDescent="0.3">
      <c r="A49" s="77">
        <v>260</v>
      </c>
      <c r="B49" s="106">
        <v>197.71</v>
      </c>
      <c r="C49" s="107"/>
      <c r="D49" s="108"/>
      <c r="E49" s="76"/>
      <c r="F49" s="77">
        <v>260</v>
      </c>
      <c r="G49" s="123">
        <f t="shared" si="0"/>
        <v>988.55000000000007</v>
      </c>
      <c r="H49" s="124"/>
      <c r="I49" s="125"/>
      <c r="J49" s="76"/>
      <c r="K49" s="77">
        <v>260</v>
      </c>
      <c r="L49" s="123">
        <f t="shared" si="1"/>
        <v>1977.1000000000001</v>
      </c>
      <c r="M49" s="124"/>
      <c r="N49" s="125"/>
      <c r="P49" s="77">
        <v>260</v>
      </c>
      <c r="Q49" s="123">
        <f t="shared" si="2"/>
        <v>0</v>
      </c>
      <c r="R49" s="124"/>
      <c r="S49" s="125"/>
    </row>
    <row r="50" spans="1:19" x14ac:dyDescent="0.3">
      <c r="A50" s="77">
        <v>270</v>
      </c>
      <c r="B50" s="106">
        <v>201.31</v>
      </c>
      <c r="C50" s="107"/>
      <c r="D50" s="108"/>
      <c r="E50" s="76"/>
      <c r="F50" s="77">
        <v>270</v>
      </c>
      <c r="G50" s="123">
        <f t="shared" si="0"/>
        <v>1006.55</v>
      </c>
      <c r="H50" s="124"/>
      <c r="I50" s="125"/>
      <c r="J50" s="76"/>
      <c r="K50" s="77">
        <v>270</v>
      </c>
      <c r="L50" s="123">
        <f t="shared" si="1"/>
        <v>2013.1</v>
      </c>
      <c r="M50" s="124"/>
      <c r="N50" s="125"/>
      <c r="P50" s="77">
        <v>270</v>
      </c>
      <c r="Q50" s="123">
        <f t="shared" si="2"/>
        <v>0</v>
      </c>
      <c r="R50" s="124"/>
      <c r="S50" s="125"/>
    </row>
    <row r="51" spans="1:19" x14ac:dyDescent="0.3">
      <c r="A51" s="77">
        <v>280</v>
      </c>
      <c r="B51" s="106">
        <v>204.9</v>
      </c>
      <c r="C51" s="107"/>
      <c r="D51" s="108"/>
      <c r="E51" s="76"/>
      <c r="F51" s="77">
        <v>280</v>
      </c>
      <c r="G51" s="123">
        <f t="shared" si="0"/>
        <v>1024.5</v>
      </c>
      <c r="H51" s="124"/>
      <c r="I51" s="125"/>
      <c r="J51" s="76"/>
      <c r="K51" s="77">
        <v>280</v>
      </c>
      <c r="L51" s="123">
        <f t="shared" si="1"/>
        <v>2049</v>
      </c>
      <c r="M51" s="124"/>
      <c r="N51" s="125"/>
      <c r="P51" s="77">
        <v>280</v>
      </c>
      <c r="Q51" s="123">
        <f t="shared" si="2"/>
        <v>0</v>
      </c>
      <c r="R51" s="124"/>
      <c r="S51" s="125"/>
    </row>
    <row r="52" spans="1:19" x14ac:dyDescent="0.3">
      <c r="A52" s="77">
        <v>290</v>
      </c>
      <c r="B52" s="106">
        <v>208.48</v>
      </c>
      <c r="C52" s="107"/>
      <c r="D52" s="108"/>
      <c r="E52" s="76"/>
      <c r="F52" s="77">
        <v>290</v>
      </c>
      <c r="G52" s="123">
        <f t="shared" si="0"/>
        <v>1042.3999999999999</v>
      </c>
      <c r="H52" s="124"/>
      <c r="I52" s="125"/>
      <c r="J52" s="76"/>
      <c r="K52" s="77">
        <v>290</v>
      </c>
      <c r="L52" s="123">
        <f t="shared" si="1"/>
        <v>2084.7999999999997</v>
      </c>
      <c r="M52" s="124"/>
      <c r="N52" s="125"/>
      <c r="P52" s="77">
        <v>290</v>
      </c>
      <c r="Q52" s="123">
        <f t="shared" si="2"/>
        <v>0</v>
      </c>
      <c r="R52" s="124"/>
      <c r="S52" s="125"/>
    </row>
    <row r="53" spans="1:19" x14ac:dyDescent="0.3">
      <c r="A53" s="77">
        <v>300</v>
      </c>
      <c r="B53" s="106">
        <v>212.05</v>
      </c>
      <c r="C53" s="107"/>
      <c r="D53" s="108"/>
      <c r="E53" s="76"/>
      <c r="F53" s="77">
        <v>300</v>
      </c>
      <c r="G53" s="123">
        <f t="shared" si="0"/>
        <v>1060.25</v>
      </c>
      <c r="H53" s="124"/>
      <c r="I53" s="125"/>
      <c r="J53" s="76"/>
      <c r="K53" s="77">
        <v>300</v>
      </c>
      <c r="L53" s="123">
        <f t="shared" si="1"/>
        <v>2120.5</v>
      </c>
      <c r="M53" s="124"/>
      <c r="N53" s="125"/>
      <c r="P53" s="77">
        <v>300</v>
      </c>
      <c r="Q53" s="123">
        <f t="shared" si="2"/>
        <v>0</v>
      </c>
      <c r="R53" s="124"/>
      <c r="S53" s="125"/>
    </row>
    <row r="54" spans="1:19" x14ac:dyDescent="0.3">
      <c r="A54" s="77">
        <v>310</v>
      </c>
      <c r="B54" s="106">
        <v>215.61</v>
      </c>
      <c r="C54" s="107"/>
      <c r="D54" s="108"/>
      <c r="E54" s="76"/>
      <c r="F54" s="77">
        <v>310</v>
      </c>
      <c r="G54" s="123">
        <f t="shared" si="0"/>
        <v>1078.0500000000002</v>
      </c>
      <c r="H54" s="124"/>
      <c r="I54" s="125"/>
      <c r="J54" s="76"/>
      <c r="K54" s="77">
        <v>310</v>
      </c>
      <c r="L54" s="123">
        <f t="shared" si="1"/>
        <v>2156.1000000000004</v>
      </c>
      <c r="M54" s="124"/>
      <c r="N54" s="125"/>
      <c r="P54" s="77">
        <v>310</v>
      </c>
      <c r="Q54" s="123">
        <f t="shared" si="2"/>
        <v>0</v>
      </c>
      <c r="R54" s="124"/>
      <c r="S54" s="125"/>
    </row>
    <row r="55" spans="1:19" ht="15" thickBot="1" x14ac:dyDescent="0.35">
      <c r="A55" s="78">
        <v>320</v>
      </c>
      <c r="B55" s="109">
        <v>219.15</v>
      </c>
      <c r="C55" s="110"/>
      <c r="D55" s="111"/>
      <c r="E55" s="76"/>
      <c r="F55" s="78">
        <v>320</v>
      </c>
      <c r="G55" s="126">
        <f t="shared" si="0"/>
        <v>1095.75</v>
      </c>
      <c r="H55" s="127"/>
      <c r="I55" s="128"/>
      <c r="J55" s="76"/>
      <c r="K55" s="78">
        <v>320</v>
      </c>
      <c r="L55" s="126">
        <f t="shared" si="1"/>
        <v>2191.5</v>
      </c>
      <c r="M55" s="127"/>
      <c r="N55" s="128"/>
      <c r="P55" s="78">
        <v>320</v>
      </c>
      <c r="Q55" s="126">
        <f t="shared" si="2"/>
        <v>0</v>
      </c>
      <c r="R55" s="127"/>
      <c r="S55" s="128"/>
    </row>
    <row r="56" spans="1:19" x14ac:dyDescent="0.3">
      <c r="E56" s="76"/>
      <c r="F56" s="76"/>
      <c r="G56" s="76"/>
      <c r="H56" s="76"/>
      <c r="I56" s="76"/>
      <c r="J56" s="76"/>
      <c r="K56" s="76"/>
    </row>
  </sheetData>
  <sheetProtection algorithmName="SHA-512" hashValue="PU6yWdD9FqjOwgZhx4o4tJsKER3OPnZ6J6wbgau6VTr53IQDhkbt+N+X2FQcDq8nFSCp6ZWD1enRu5mC13Y5Aw==" saltValue="AcLV8kBRqeihOdiZFsqP8Q==" spinCount="100000" sheet="1" objects="1" scenarios="1"/>
  <mergeCells count="224">
    <mergeCell ref="Q55:S55"/>
    <mergeCell ref="Q50:S50"/>
    <mergeCell ref="Q51:S51"/>
    <mergeCell ref="Q52:S52"/>
    <mergeCell ref="Q53:S53"/>
    <mergeCell ref="Q54:S54"/>
    <mergeCell ref="Q45:S45"/>
    <mergeCell ref="Q46:S46"/>
    <mergeCell ref="Q47:S47"/>
    <mergeCell ref="Q48:S48"/>
    <mergeCell ref="Q49:S49"/>
    <mergeCell ref="Q40:S40"/>
    <mergeCell ref="Q41:S41"/>
    <mergeCell ref="Q42:S42"/>
    <mergeCell ref="Q43:S43"/>
    <mergeCell ref="Q44:S44"/>
    <mergeCell ref="Q35:S35"/>
    <mergeCell ref="Q36:S36"/>
    <mergeCell ref="Q37:S37"/>
    <mergeCell ref="Q38:S38"/>
    <mergeCell ref="Q39:S39"/>
    <mergeCell ref="Q30:S30"/>
    <mergeCell ref="Q31:S31"/>
    <mergeCell ref="Q32:S32"/>
    <mergeCell ref="Q33:S33"/>
    <mergeCell ref="Q34:S34"/>
    <mergeCell ref="Q25:S25"/>
    <mergeCell ref="Q26:S26"/>
    <mergeCell ref="Q27:S27"/>
    <mergeCell ref="Q28:S28"/>
    <mergeCell ref="Q29:S29"/>
    <mergeCell ref="Q20:S20"/>
    <mergeCell ref="Q21:S21"/>
    <mergeCell ref="Q22:S22"/>
    <mergeCell ref="Q23:S23"/>
    <mergeCell ref="Q24:S24"/>
    <mergeCell ref="Q15:S15"/>
    <mergeCell ref="Q16:S16"/>
    <mergeCell ref="Q17:S17"/>
    <mergeCell ref="Q18:S18"/>
    <mergeCell ref="Q19:S19"/>
    <mergeCell ref="L55:N55"/>
    <mergeCell ref="P1:P2"/>
    <mergeCell ref="Q1:S1"/>
    <mergeCell ref="Q2:S2"/>
    <mergeCell ref="Q3:S3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L50:N50"/>
    <mergeCell ref="L51:N51"/>
    <mergeCell ref="L52:N52"/>
    <mergeCell ref="L53:N53"/>
    <mergeCell ref="L54:N54"/>
    <mergeCell ref="L45:N45"/>
    <mergeCell ref="L46:N46"/>
    <mergeCell ref="L47:N47"/>
    <mergeCell ref="L48:N48"/>
    <mergeCell ref="L49:N49"/>
    <mergeCell ref="L40:N40"/>
    <mergeCell ref="L41:N41"/>
    <mergeCell ref="L42:N42"/>
    <mergeCell ref="L43:N43"/>
    <mergeCell ref="L44:N44"/>
    <mergeCell ref="L35:N35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25:N25"/>
    <mergeCell ref="L26:N26"/>
    <mergeCell ref="L27:N27"/>
    <mergeCell ref="L28:N28"/>
    <mergeCell ref="L29:N29"/>
    <mergeCell ref="L20:N20"/>
    <mergeCell ref="L21:N21"/>
    <mergeCell ref="L22:N22"/>
    <mergeCell ref="L23:N23"/>
    <mergeCell ref="L24:N24"/>
    <mergeCell ref="L15:N15"/>
    <mergeCell ref="L16:N16"/>
    <mergeCell ref="L17:N17"/>
    <mergeCell ref="L18:N18"/>
    <mergeCell ref="L19:N19"/>
    <mergeCell ref="G55:I55"/>
    <mergeCell ref="K1:K2"/>
    <mergeCell ref="L1:N1"/>
    <mergeCell ref="L2:N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G50:I50"/>
    <mergeCell ref="G51:I51"/>
    <mergeCell ref="G52:I52"/>
    <mergeCell ref="G53:I53"/>
    <mergeCell ref="G54:I54"/>
    <mergeCell ref="G45:I45"/>
    <mergeCell ref="G46:I46"/>
    <mergeCell ref="G47:I47"/>
    <mergeCell ref="G48:I48"/>
    <mergeCell ref="G49:I49"/>
    <mergeCell ref="G40:I40"/>
    <mergeCell ref="G41:I41"/>
    <mergeCell ref="G42:I42"/>
    <mergeCell ref="G43:I43"/>
    <mergeCell ref="G44:I44"/>
    <mergeCell ref="G35:I35"/>
    <mergeCell ref="G36:I36"/>
    <mergeCell ref="G37:I37"/>
    <mergeCell ref="G38:I38"/>
    <mergeCell ref="G39:I39"/>
    <mergeCell ref="G30:I30"/>
    <mergeCell ref="G31:I31"/>
    <mergeCell ref="G32:I32"/>
    <mergeCell ref="G33:I33"/>
    <mergeCell ref="G34:I34"/>
    <mergeCell ref="G25:I25"/>
    <mergeCell ref="G26:I26"/>
    <mergeCell ref="G27:I27"/>
    <mergeCell ref="G28:I28"/>
    <mergeCell ref="G29:I29"/>
    <mergeCell ref="G21:I21"/>
    <mergeCell ref="G22:I22"/>
    <mergeCell ref="G23:I23"/>
    <mergeCell ref="G24:I24"/>
    <mergeCell ref="G15:I15"/>
    <mergeCell ref="G16:I16"/>
    <mergeCell ref="G17:I17"/>
    <mergeCell ref="G18:I18"/>
    <mergeCell ref="G19:I19"/>
    <mergeCell ref="G12:I12"/>
    <mergeCell ref="G13:I13"/>
    <mergeCell ref="G14:I14"/>
    <mergeCell ref="G5:I5"/>
    <mergeCell ref="G6:I6"/>
    <mergeCell ref="G7:I7"/>
    <mergeCell ref="G8:I8"/>
    <mergeCell ref="G9:I9"/>
    <mergeCell ref="G20:I20"/>
    <mergeCell ref="F1:F2"/>
    <mergeCell ref="G1:I1"/>
    <mergeCell ref="G2:I2"/>
    <mergeCell ref="G3:I3"/>
    <mergeCell ref="G4:I4"/>
    <mergeCell ref="B30:D30"/>
    <mergeCell ref="B31:D31"/>
    <mergeCell ref="B32:D32"/>
    <mergeCell ref="B38:D38"/>
    <mergeCell ref="B20:D20"/>
    <mergeCell ref="B21:D21"/>
    <mergeCell ref="B22:D22"/>
    <mergeCell ref="B23:D23"/>
    <mergeCell ref="B24:D24"/>
    <mergeCell ref="B10:D10"/>
    <mergeCell ref="B11:D11"/>
    <mergeCell ref="B12:D12"/>
    <mergeCell ref="B13:D13"/>
    <mergeCell ref="B19:D19"/>
    <mergeCell ref="B14:D14"/>
    <mergeCell ref="B15:D15"/>
    <mergeCell ref="B16:D16"/>
    <mergeCell ref="G10:I10"/>
    <mergeCell ref="G11:I11"/>
    <mergeCell ref="B40:D40"/>
    <mergeCell ref="A1:A2"/>
    <mergeCell ref="B1:D1"/>
    <mergeCell ref="B2:D2"/>
    <mergeCell ref="B17:D17"/>
    <mergeCell ref="B18:D18"/>
    <mergeCell ref="B3:D3"/>
    <mergeCell ref="B4:D4"/>
    <mergeCell ref="B5:D5"/>
    <mergeCell ref="B6:D6"/>
    <mergeCell ref="B7:D7"/>
    <mergeCell ref="B8:D8"/>
    <mergeCell ref="B9:D9"/>
    <mergeCell ref="B39:D39"/>
    <mergeCell ref="B33:D33"/>
    <mergeCell ref="B34:D34"/>
    <mergeCell ref="B35:D35"/>
    <mergeCell ref="B36:D36"/>
    <mergeCell ref="B37:D37"/>
    <mergeCell ref="B25:D25"/>
    <mergeCell ref="B26:D26"/>
    <mergeCell ref="B27:D27"/>
    <mergeCell ref="B28:D28"/>
    <mergeCell ref="B29:D29"/>
    <mergeCell ref="B50:D50"/>
    <mergeCell ref="B51:D51"/>
    <mergeCell ref="B52:D52"/>
    <mergeCell ref="B53:D53"/>
    <mergeCell ref="B54:D54"/>
    <mergeCell ref="B55:D55"/>
    <mergeCell ref="B41:D41"/>
    <mergeCell ref="B43:D43"/>
    <mergeCell ref="B42:D42"/>
    <mergeCell ref="B44:D44"/>
    <mergeCell ref="B45:D45"/>
    <mergeCell ref="B46:D46"/>
    <mergeCell ref="B47:D47"/>
    <mergeCell ref="B48:D48"/>
    <mergeCell ref="B49:D4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BE2E-C5CC-435E-B040-5E948CD04E8B}">
  <dimension ref="A1:P64"/>
  <sheetViews>
    <sheetView topLeftCell="A53" workbookViewId="0">
      <selection activeCell="L34" sqref="L34"/>
    </sheetView>
  </sheetViews>
  <sheetFormatPr defaultRowHeight="14.4" x14ac:dyDescent="0.3"/>
  <cols>
    <col min="3" max="3" width="10.5546875" customWidth="1"/>
    <col min="4" max="4" width="10.5546875" bestFit="1" customWidth="1"/>
    <col min="5" max="5" width="12.5546875" bestFit="1" customWidth="1"/>
    <col min="6" max="6" width="14.44140625" customWidth="1"/>
    <col min="7" max="7" width="13.6640625" customWidth="1"/>
    <col min="12" max="12" width="18.6640625" customWidth="1"/>
    <col min="13" max="13" width="18.109375" customWidth="1"/>
    <col min="14" max="14" width="18.44140625" customWidth="1"/>
    <col min="15" max="15" width="18.33203125" customWidth="1"/>
  </cols>
  <sheetData>
    <row r="1" spans="1:15" ht="15" thickBot="1" x14ac:dyDescent="0.35">
      <c r="A1" s="114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4" t="s">
        <v>55</v>
      </c>
      <c r="M1" s="115"/>
      <c r="N1" s="116"/>
    </row>
    <row r="2" spans="1:15" ht="16.2" x14ac:dyDescent="0.35">
      <c r="A2" s="23" t="s">
        <v>31</v>
      </c>
      <c r="F2" s="140" t="s">
        <v>16</v>
      </c>
      <c r="G2" s="1" t="s">
        <v>9</v>
      </c>
      <c r="J2">
        <f>0.0005*100</f>
        <v>0.05</v>
      </c>
      <c r="K2" s="24" t="s">
        <v>2</v>
      </c>
      <c r="L2" s="33" t="s">
        <v>56</v>
      </c>
      <c r="M2" s="34">
        <f>E32</f>
        <v>49.504950495049506</v>
      </c>
      <c r="N2" s="35" t="s">
        <v>20</v>
      </c>
    </row>
    <row r="3" spans="1:15" ht="16.2" x14ac:dyDescent="0.35">
      <c r="A3" s="25"/>
      <c r="B3" s="1" t="s">
        <v>32</v>
      </c>
      <c r="F3" s="141"/>
      <c r="G3" s="1" t="s">
        <v>10</v>
      </c>
      <c r="J3">
        <f>$D$4-$J$2</f>
        <v>4.95</v>
      </c>
      <c r="K3" s="24" t="s">
        <v>2</v>
      </c>
      <c r="L3" s="33" t="s">
        <v>27</v>
      </c>
      <c r="M3" s="34">
        <f>$E$34</f>
        <v>53.32026090767615</v>
      </c>
      <c r="N3" s="35" t="s">
        <v>20</v>
      </c>
    </row>
    <row r="4" spans="1:15" ht="16.2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41"/>
      <c r="G4" s="21" t="s">
        <v>11</v>
      </c>
      <c r="K4" s="26"/>
      <c r="L4" s="33" t="s">
        <v>26</v>
      </c>
      <c r="M4" s="34">
        <f>$J$34</f>
        <v>0.19012932241729957</v>
      </c>
      <c r="N4" s="35" t="s">
        <v>23</v>
      </c>
    </row>
    <row r="5" spans="1:15" ht="15.6" x14ac:dyDescent="0.35">
      <c r="A5" s="25"/>
      <c r="C5" t="s">
        <v>7</v>
      </c>
      <c r="D5" s="22">
        <f>'RTD Data'!$F$8</f>
        <v>5000</v>
      </c>
      <c r="E5" s="20" t="s">
        <v>0</v>
      </c>
      <c r="F5" s="141"/>
      <c r="G5" s="1"/>
      <c r="H5" s="143" t="s">
        <v>12</v>
      </c>
      <c r="I5" s="143"/>
      <c r="J5">
        <f>$J$3/2</f>
        <v>2.4750000000000001</v>
      </c>
      <c r="K5" s="24" t="s">
        <v>2</v>
      </c>
      <c r="L5" s="33" t="s">
        <v>42</v>
      </c>
      <c r="M5" s="36">
        <f>'RTD Data'!S4</f>
        <v>280</v>
      </c>
      <c r="N5" s="37" t="s">
        <v>21</v>
      </c>
    </row>
    <row r="6" spans="1:15" ht="15.6" x14ac:dyDescent="0.35">
      <c r="A6" s="25"/>
      <c r="C6" t="s">
        <v>8</v>
      </c>
      <c r="D6" s="22">
        <f>'RTD Data'!$F$7</f>
        <v>5000</v>
      </c>
      <c r="E6" s="20" t="s">
        <v>0</v>
      </c>
      <c r="F6" s="141"/>
      <c r="H6" s="144" t="s">
        <v>13</v>
      </c>
      <c r="I6" s="144"/>
      <c r="J6" s="22">
        <f>J5/0.0005</f>
        <v>4950</v>
      </c>
      <c r="K6" s="24" t="s">
        <v>0</v>
      </c>
      <c r="L6" s="33" t="s">
        <v>46</v>
      </c>
      <c r="M6" s="34">
        <f>VLOOKUP(M5,'PT100 Tables'!12:64,5)</f>
        <v>100.39294848553148</v>
      </c>
      <c r="N6" s="35" t="s">
        <v>20</v>
      </c>
    </row>
    <row r="7" spans="1:15" ht="16.2" x14ac:dyDescent="0.35">
      <c r="A7" s="23" t="s">
        <v>39</v>
      </c>
      <c r="D7" s="22"/>
      <c r="E7" s="20"/>
      <c r="F7" s="141"/>
      <c r="H7" s="144" t="s">
        <v>14</v>
      </c>
      <c r="I7" s="144"/>
      <c r="J7" s="22">
        <f>J6</f>
        <v>4950</v>
      </c>
      <c r="K7" s="24" t="s">
        <v>0</v>
      </c>
      <c r="L7" s="18" t="s">
        <v>43</v>
      </c>
      <c r="M7" s="34">
        <f>VLOOKUP(M5,12:64,10)</f>
        <v>0.17212428009941974</v>
      </c>
      <c r="N7" s="35" t="s">
        <v>23</v>
      </c>
    </row>
    <row r="8" spans="1:15" ht="16.2" thickBot="1" x14ac:dyDescent="0.4">
      <c r="A8" s="27" t="s">
        <v>34</v>
      </c>
      <c r="B8" s="28"/>
      <c r="C8" s="29"/>
      <c r="D8" s="30"/>
      <c r="E8" s="31"/>
      <c r="F8" s="142"/>
      <c r="G8" s="29"/>
      <c r="H8" s="29"/>
      <c r="I8" s="29"/>
      <c r="J8" s="29"/>
      <c r="K8" s="32"/>
      <c r="L8" s="38"/>
      <c r="M8" s="29"/>
      <c r="N8" s="32"/>
    </row>
    <row r="9" spans="1:15" ht="15" thickBot="1" x14ac:dyDescent="0.35"/>
    <row r="10" spans="1:15" ht="15" customHeight="1" x14ac:dyDescent="0.3">
      <c r="A10" s="112" t="s">
        <v>1</v>
      </c>
      <c r="B10" s="112" t="s">
        <v>28</v>
      </c>
      <c r="C10" s="129" t="s">
        <v>29</v>
      </c>
      <c r="D10" s="129" t="s">
        <v>30</v>
      </c>
      <c r="E10" s="129" t="s">
        <v>24</v>
      </c>
      <c r="F10" s="129" t="s">
        <v>37</v>
      </c>
      <c r="G10" s="129" t="s">
        <v>38</v>
      </c>
      <c r="H10" s="131" t="s">
        <v>33</v>
      </c>
      <c r="I10" s="137"/>
      <c r="J10" s="131" t="s">
        <v>35</v>
      </c>
      <c r="K10" s="137"/>
      <c r="L10" s="131" t="s">
        <v>48</v>
      </c>
      <c r="M10" s="129" t="s">
        <v>40</v>
      </c>
      <c r="N10" s="19"/>
      <c r="O10" s="129" t="s">
        <v>49</v>
      </c>
    </row>
    <row r="11" spans="1:15" ht="16.2" thickBot="1" x14ac:dyDescent="0.4">
      <c r="A11" s="145"/>
      <c r="B11" s="113"/>
      <c r="C11" s="130"/>
      <c r="D11" s="130"/>
      <c r="E11" s="130"/>
      <c r="F11" s="130"/>
      <c r="G11" s="130"/>
      <c r="H11" s="132"/>
      <c r="I11" s="138"/>
      <c r="J11" s="132"/>
      <c r="K11" s="138"/>
      <c r="L11" s="132"/>
      <c r="M11" s="130"/>
      <c r="N11" s="16" t="s">
        <v>41</v>
      </c>
      <c r="O11" s="130"/>
    </row>
    <row r="12" spans="1:15" x14ac:dyDescent="0.3">
      <c r="A12" s="4">
        <v>-200</v>
      </c>
      <c r="B12" s="17">
        <f>'RTD Resistance @ Temperature'!B3</f>
        <v>18.52</v>
      </c>
      <c r="C12" s="9">
        <f>$D$4 / ($D$5 + $D$6 + B12)</f>
        <v>4.9907571178178008E-4</v>
      </c>
      <c r="D12" s="9">
        <f>C12*1000</f>
        <v>0.49907571178178006</v>
      </c>
      <c r="E12" s="9">
        <f>B12*D12</f>
        <v>9.2428821821985672</v>
      </c>
      <c r="F12" s="9">
        <f>E13-E12</f>
        <v>2.1461167332774007</v>
      </c>
      <c r="G12" s="9">
        <f>E12-$E$34</f>
        <v>-44.077378725477587</v>
      </c>
      <c r="H12" s="139">
        <f>F12/(A13-A12)</f>
        <v>0.21461167332774006</v>
      </c>
      <c r="I12" s="139"/>
      <c r="J12" s="139">
        <f>(E13-E12)/(A13-A12)</f>
        <v>0.21461167332774006</v>
      </c>
      <c r="K12" s="139"/>
      <c r="L12" s="40">
        <f>($E12-$M$2)/$M$4</f>
        <v>-211.76148844880942</v>
      </c>
      <c r="M12" s="8">
        <f>(L12-$A12)/$A12 * 100</f>
        <v>5.8807442244047081</v>
      </c>
      <c r="N12" s="40">
        <f>($E12-$M$2)/$M$7</f>
        <v>-233.91277680055012</v>
      </c>
      <c r="O12" s="41">
        <f>(N12-$A12)/$A12 * 100</f>
        <v>16.95638840027506</v>
      </c>
    </row>
    <row r="13" spans="1:15" x14ac:dyDescent="0.3">
      <c r="A13" s="2">
        <v>-190</v>
      </c>
      <c r="B13" s="14">
        <f>'RTD Resistance @ Temperature'!B4</f>
        <v>22.83</v>
      </c>
      <c r="C13" s="10">
        <f t="shared" ref="C13:C64" si="0">$D$4 / ($D$5 + $D$6 + B13)</f>
        <v>4.9886110010845242E-4</v>
      </c>
      <c r="D13" s="10">
        <f t="shared" ref="D13:D64" si="1">C13*1000</f>
        <v>0.49886110010845242</v>
      </c>
      <c r="E13" s="10">
        <f t="shared" ref="E13:E64" si="2">B13*D13</f>
        <v>11.388998915475968</v>
      </c>
      <c r="F13" s="10">
        <f t="shared" ref="F13:F63" si="3">E13-E12</f>
        <v>2.1461167332774007</v>
      </c>
      <c r="G13" s="10">
        <f t="shared" ref="G13:G64" si="4">E13-$E$34</f>
        <v>-41.931261992200184</v>
      </c>
      <c r="H13" s="133">
        <f>F13/(A13-A12)</f>
        <v>0.21461167332774006</v>
      </c>
      <c r="I13" s="133"/>
      <c r="J13" s="133">
        <f>(E14-E12)/(A14-A12)</f>
        <v>0.21352482807031317</v>
      </c>
      <c r="K13" s="133"/>
      <c r="L13" s="39">
        <f t="shared" ref="L13:L64" si="5">($E13-$M$2)/$M$4</f>
        <v>-200.47382010816776</v>
      </c>
      <c r="M13" s="6">
        <f t="shared" ref="M13:M64" si="6">(L13-$A13)/$A13 * 100</f>
        <v>5.5125368990356618</v>
      </c>
      <c r="N13" s="39">
        <f t="shared" ref="N13:N64" si="7">($E13-$M$2)/$M$7</f>
        <v>-221.44436309367626</v>
      </c>
      <c r="O13" s="42">
        <f t="shared" ref="O13:O64" si="8">(N13-$A13)/$A13 * 100</f>
        <v>16.549664786145399</v>
      </c>
    </row>
    <row r="14" spans="1:15" x14ac:dyDescent="0.3">
      <c r="A14" s="2">
        <v>-180</v>
      </c>
      <c r="B14" s="14">
        <f>'RTD Resistance @ Temperature'!B5</f>
        <v>27.1</v>
      </c>
      <c r="C14" s="10">
        <f t="shared" si="0"/>
        <v>4.9864866212563945E-4</v>
      </c>
      <c r="D14" s="10">
        <f t="shared" si="1"/>
        <v>0.49864866212563946</v>
      </c>
      <c r="E14" s="10">
        <f t="shared" si="2"/>
        <v>13.51337874360483</v>
      </c>
      <c r="F14" s="10">
        <f t="shared" si="3"/>
        <v>2.1243798281288626</v>
      </c>
      <c r="G14" s="10">
        <f t="shared" si="4"/>
        <v>-39.806882164071318</v>
      </c>
      <c r="H14" s="133">
        <f t="shared" ref="H14:H63" si="9">F14/(A14-A13)</f>
        <v>0.21243798281288626</v>
      </c>
      <c r="I14" s="133"/>
      <c r="J14" s="133">
        <f t="shared" ref="J14:J63" si="10">(E15-E13)/(A15-A13)</f>
        <v>0.21160223668637146</v>
      </c>
      <c r="K14" s="133"/>
      <c r="L14" s="39">
        <f t="shared" si="5"/>
        <v>-189.30047871548012</v>
      </c>
      <c r="M14" s="6">
        <f t="shared" si="6"/>
        <v>5.1669326197111811</v>
      </c>
      <c r="N14" s="39">
        <f t="shared" si="7"/>
        <v>-209.10223549319005</v>
      </c>
      <c r="O14" s="42">
        <f t="shared" si="8"/>
        <v>16.167908607327806</v>
      </c>
    </row>
    <row r="15" spans="1:15" x14ac:dyDescent="0.3">
      <c r="A15" s="2">
        <v>-170</v>
      </c>
      <c r="B15" s="14">
        <f>'RTD Resistance @ Temperature'!B6</f>
        <v>31.34</v>
      </c>
      <c r="C15" s="10">
        <f t="shared" si="0"/>
        <v>4.9843789563507968E-4</v>
      </c>
      <c r="D15" s="10">
        <f t="shared" si="1"/>
        <v>0.49843789563507968</v>
      </c>
      <c r="E15" s="10">
        <f t="shared" si="2"/>
        <v>15.621043649203397</v>
      </c>
      <c r="F15" s="10">
        <f t="shared" si="3"/>
        <v>2.1076649055985666</v>
      </c>
      <c r="G15" s="10">
        <f t="shared" si="4"/>
        <v>-37.699217258472757</v>
      </c>
      <c r="H15" s="133">
        <f t="shared" si="9"/>
        <v>0.21076649055985666</v>
      </c>
      <c r="I15" s="133"/>
      <c r="J15" s="133">
        <f t="shared" si="10"/>
        <v>0.2096845166448639</v>
      </c>
      <c r="K15" s="133"/>
      <c r="L15" s="39">
        <f t="shared" si="5"/>
        <v>-178.21505076148668</v>
      </c>
      <c r="M15" s="6">
        <f t="shared" si="6"/>
        <v>4.8323828008745178</v>
      </c>
      <c r="N15" s="39">
        <f t="shared" si="7"/>
        <v>-196.8572175074581</v>
      </c>
      <c r="O15" s="42">
        <f t="shared" si="8"/>
        <v>15.798363239681237</v>
      </c>
    </row>
    <row r="16" spans="1:15" x14ac:dyDescent="0.3">
      <c r="A16" s="2">
        <v>-160</v>
      </c>
      <c r="B16" s="14">
        <f>'RTD Resistance @ Temperature'!B7</f>
        <v>35.54</v>
      </c>
      <c r="C16" s="10">
        <f t="shared" si="0"/>
        <v>4.9822929309234975E-4</v>
      </c>
      <c r="D16" s="10">
        <f t="shared" si="1"/>
        <v>0.49822929309234976</v>
      </c>
      <c r="E16" s="10">
        <f t="shared" si="2"/>
        <v>17.707069076502108</v>
      </c>
      <c r="F16" s="10">
        <f t="shared" si="3"/>
        <v>2.0860254272987113</v>
      </c>
      <c r="G16" s="10">
        <f t="shared" si="4"/>
        <v>-35.613191831174042</v>
      </c>
      <c r="H16" s="133">
        <f t="shared" si="9"/>
        <v>0.20860254272987114</v>
      </c>
      <c r="I16" s="133"/>
      <c r="J16" s="133">
        <f t="shared" si="10"/>
        <v>0.20801922590580055</v>
      </c>
      <c r="K16" s="133"/>
      <c r="L16" s="39">
        <f t="shared" si="5"/>
        <v>-167.24343733133799</v>
      </c>
      <c r="M16" s="6">
        <f t="shared" si="6"/>
        <v>4.5271483320862416</v>
      </c>
      <c r="N16" s="39">
        <f t="shared" si="7"/>
        <v>-184.73791960193415</v>
      </c>
      <c r="O16" s="42">
        <f t="shared" si="8"/>
        <v>15.461199751208845</v>
      </c>
    </row>
    <row r="17" spans="1:16" x14ac:dyDescent="0.3">
      <c r="A17" s="2">
        <v>-150</v>
      </c>
      <c r="B17" s="14">
        <f>'RTD Resistance @ Temperature'!B8</f>
        <v>39.72</v>
      </c>
      <c r="C17" s="10">
        <f t="shared" si="0"/>
        <v>4.9802185718326813E-4</v>
      </c>
      <c r="D17" s="10">
        <f t="shared" si="1"/>
        <v>0.49802185718326814</v>
      </c>
      <c r="E17" s="10">
        <f t="shared" si="2"/>
        <v>19.781428167319408</v>
      </c>
      <c r="F17" s="10">
        <f t="shared" si="3"/>
        <v>2.0743590908172997</v>
      </c>
      <c r="G17" s="10">
        <f t="shared" si="4"/>
        <v>-33.538832740356739</v>
      </c>
      <c r="H17" s="133">
        <f t="shared" si="9"/>
        <v>0.20743590908172999</v>
      </c>
      <c r="I17" s="133"/>
      <c r="J17" s="133">
        <f t="shared" si="10"/>
        <v>0.20685394013021874</v>
      </c>
      <c r="K17" s="133"/>
      <c r="L17" s="39">
        <f t="shared" si="5"/>
        <v>-156.33318390780528</v>
      </c>
      <c r="M17" s="6">
        <f t="shared" si="6"/>
        <v>4.222122605203519</v>
      </c>
      <c r="N17" s="39">
        <f t="shared" si="7"/>
        <v>-172.68640026010078</v>
      </c>
      <c r="O17" s="42">
        <f t="shared" si="8"/>
        <v>15.124266840067188</v>
      </c>
    </row>
    <row r="18" spans="1:16" x14ac:dyDescent="0.3">
      <c r="A18" s="2">
        <v>-140</v>
      </c>
      <c r="B18" s="14">
        <f>'RTD Resistance @ Temperature'!B9</f>
        <v>43.88</v>
      </c>
      <c r="C18" s="10">
        <f t="shared" si="0"/>
        <v>4.9781558521208938E-4</v>
      </c>
      <c r="D18" s="10">
        <f t="shared" si="1"/>
        <v>0.49781558521208935</v>
      </c>
      <c r="E18" s="10">
        <f t="shared" si="2"/>
        <v>21.844147879106483</v>
      </c>
      <c r="F18" s="10">
        <f t="shared" si="3"/>
        <v>2.062719711787075</v>
      </c>
      <c r="G18" s="10">
        <f t="shared" si="4"/>
        <v>-31.476113028569667</v>
      </c>
      <c r="H18" s="133">
        <f t="shared" si="9"/>
        <v>0.20627197117870749</v>
      </c>
      <c r="I18" s="133"/>
      <c r="J18" s="133">
        <f t="shared" si="10"/>
        <v>0.20519610755759637</v>
      </c>
      <c r="K18" s="133"/>
      <c r="L18" s="39">
        <f t="shared" si="5"/>
        <v>-145.48414870607149</v>
      </c>
      <c r="M18" s="6">
        <f t="shared" si="6"/>
        <v>3.9172490757653526</v>
      </c>
      <c r="N18" s="39">
        <f t="shared" si="7"/>
        <v>-160.70250286575504</v>
      </c>
      <c r="O18" s="42">
        <f t="shared" si="8"/>
        <v>14.787502046967882</v>
      </c>
    </row>
    <row r="19" spans="1:16" x14ac:dyDescent="0.3">
      <c r="A19" s="2">
        <v>-130</v>
      </c>
      <c r="B19" s="14">
        <f>'RTD Resistance @ Temperature'!B10</f>
        <v>48</v>
      </c>
      <c r="C19" s="10">
        <f t="shared" si="0"/>
        <v>4.9761146496815286E-4</v>
      </c>
      <c r="D19" s="10">
        <f t="shared" si="1"/>
        <v>0.49761146496815284</v>
      </c>
      <c r="E19" s="10">
        <f t="shared" si="2"/>
        <v>23.885350318471335</v>
      </c>
      <c r="F19" s="10">
        <f t="shared" si="3"/>
        <v>2.0412024393648522</v>
      </c>
      <c r="G19" s="10">
        <f t="shared" si="4"/>
        <v>-29.434910589204815</v>
      </c>
      <c r="H19" s="133">
        <f t="shared" si="9"/>
        <v>0.20412024393648523</v>
      </c>
      <c r="I19" s="133"/>
      <c r="J19" s="133">
        <f t="shared" si="10"/>
        <v>0.20378916796053215</v>
      </c>
      <c r="K19" s="133"/>
      <c r="L19" s="39">
        <f t="shared" si="5"/>
        <v>-134.74828527683789</v>
      </c>
      <c r="M19" s="6">
        <f t="shared" si="6"/>
        <v>3.6525271360291467</v>
      </c>
      <c r="N19" s="39">
        <f t="shared" si="7"/>
        <v>-148.84361556533557</v>
      </c>
      <c r="O19" s="42">
        <f t="shared" si="8"/>
        <v>14.495088896411975</v>
      </c>
    </row>
    <row r="20" spans="1:16" x14ac:dyDescent="0.3">
      <c r="A20" s="2">
        <v>-120</v>
      </c>
      <c r="B20" s="14">
        <f>'RTD Resistance @ Temperature'!B11</f>
        <v>52.11</v>
      </c>
      <c r="C20" s="10">
        <f t="shared" si="0"/>
        <v>4.9740800687616822E-4</v>
      </c>
      <c r="D20" s="10">
        <f t="shared" si="1"/>
        <v>0.49740800687616821</v>
      </c>
      <c r="E20" s="10">
        <f t="shared" si="2"/>
        <v>25.919931238317126</v>
      </c>
      <c r="F20" s="10">
        <f t="shared" si="3"/>
        <v>2.0345809198457907</v>
      </c>
      <c r="G20" s="10">
        <f t="shared" si="4"/>
        <v>-27.400329669359024</v>
      </c>
      <c r="H20" s="133">
        <f t="shared" si="9"/>
        <v>0.20345809198457906</v>
      </c>
      <c r="I20" s="133"/>
      <c r="J20" s="133">
        <f t="shared" si="10"/>
        <v>0.20263329840074479</v>
      </c>
      <c r="K20" s="133"/>
      <c r="L20" s="39">
        <f t="shared" si="5"/>
        <v>-124.04724824594661</v>
      </c>
      <c r="M20" s="6">
        <f t="shared" si="6"/>
        <v>3.3727068716221704</v>
      </c>
      <c r="N20" s="39">
        <f t="shared" si="7"/>
        <v>-137.02319767501464</v>
      </c>
      <c r="O20" s="42">
        <f t="shared" si="8"/>
        <v>14.185998062512203</v>
      </c>
    </row>
    <row r="21" spans="1:16" x14ac:dyDescent="0.3">
      <c r="A21" s="2">
        <v>-110</v>
      </c>
      <c r="B21" s="14">
        <f>'RTD Resistance @ Temperature'!B12</f>
        <v>56.19</v>
      </c>
      <c r="C21" s="10">
        <f t="shared" si="0"/>
        <v>4.9720619837135139E-4</v>
      </c>
      <c r="D21" s="10">
        <f t="shared" si="1"/>
        <v>0.49720619837135138</v>
      </c>
      <c r="E21" s="10">
        <f t="shared" si="2"/>
        <v>27.938016286486231</v>
      </c>
      <c r="F21" s="10">
        <f t="shared" si="3"/>
        <v>2.0180850481691053</v>
      </c>
      <c r="G21" s="10">
        <f t="shared" si="4"/>
        <v>-25.382244621189919</v>
      </c>
      <c r="H21" s="133">
        <f t="shared" si="9"/>
        <v>0.20180850481691054</v>
      </c>
      <c r="I21" s="133"/>
      <c r="J21" s="133">
        <f t="shared" si="10"/>
        <v>0.20147964645251565</v>
      </c>
      <c r="K21" s="133"/>
      <c r="L21" s="39">
        <f t="shared" si="5"/>
        <v>-113.4329725387005</v>
      </c>
      <c r="M21" s="6">
        <f t="shared" si="6"/>
        <v>3.1208841260913607</v>
      </c>
      <c r="N21" s="39">
        <f t="shared" si="7"/>
        <v>-125.29861676752472</v>
      </c>
      <c r="O21" s="42">
        <f t="shared" si="8"/>
        <v>13.907833425022472</v>
      </c>
    </row>
    <row r="22" spans="1:16" x14ac:dyDescent="0.3">
      <c r="A22" s="2">
        <v>-100</v>
      </c>
      <c r="B22" s="14">
        <f>'RTD Resistance @ Temperature'!B13</f>
        <v>60.26</v>
      </c>
      <c r="C22" s="10">
        <f t="shared" si="0"/>
        <v>4.9700504758326319E-4</v>
      </c>
      <c r="D22" s="10">
        <f t="shared" si="1"/>
        <v>0.49700504758326319</v>
      </c>
      <c r="E22" s="10">
        <f t="shared" si="2"/>
        <v>29.949524167367439</v>
      </c>
      <c r="F22" s="10">
        <f t="shared" si="3"/>
        <v>2.0115078808812079</v>
      </c>
      <c r="G22" s="10">
        <f t="shared" si="4"/>
        <v>-23.370736740308711</v>
      </c>
      <c r="H22" s="133">
        <f t="shared" si="9"/>
        <v>0.20115078808812079</v>
      </c>
      <c r="I22" s="133"/>
      <c r="J22" s="133">
        <f t="shared" si="10"/>
        <v>0.20032899798255527</v>
      </c>
      <c r="K22" s="133"/>
      <c r="L22" s="39">
        <f t="shared" si="5"/>
        <v>-102.85328995577774</v>
      </c>
      <c r="M22" s="6">
        <f t="shared" si="6"/>
        <v>2.8532899557777398</v>
      </c>
      <c r="N22" s="39">
        <f t="shared" si="7"/>
        <v>-113.61224759451001</v>
      </c>
      <c r="O22" s="42">
        <f t="shared" si="8"/>
        <v>13.612247594510011</v>
      </c>
    </row>
    <row r="23" spans="1:16" x14ac:dyDescent="0.3">
      <c r="A23" s="2">
        <v>-90</v>
      </c>
      <c r="B23" s="14">
        <f>'RTD Resistance @ Temperature'!B14</f>
        <v>64.3</v>
      </c>
      <c r="C23" s="10">
        <f t="shared" si="0"/>
        <v>4.9680554037538627E-4</v>
      </c>
      <c r="D23" s="10">
        <f t="shared" si="1"/>
        <v>0.49680554037538627</v>
      </c>
      <c r="E23" s="10">
        <f t="shared" si="2"/>
        <v>31.944596246137337</v>
      </c>
      <c r="F23" s="10">
        <f t="shared" si="3"/>
        <v>1.9950720787698977</v>
      </c>
      <c r="G23" s="10">
        <f t="shared" si="4"/>
        <v>-21.375664661538814</v>
      </c>
      <c r="H23" s="133">
        <f t="shared" si="9"/>
        <v>0.19950720787698978</v>
      </c>
      <c r="I23" s="133"/>
      <c r="J23" s="133">
        <f t="shared" si="10"/>
        <v>0.19918053609669836</v>
      </c>
      <c r="K23" s="133"/>
      <c r="L23" s="39">
        <f t="shared" si="5"/>
        <v>-92.360052755936081</v>
      </c>
      <c r="M23" s="6">
        <f t="shared" si="6"/>
        <v>2.6222808399289792</v>
      </c>
      <c r="N23" s="39">
        <f t="shared" si="7"/>
        <v>-102.02136641483254</v>
      </c>
      <c r="O23" s="42">
        <f t="shared" si="8"/>
        <v>13.357073794258381</v>
      </c>
    </row>
    <row r="24" spans="1:16" x14ac:dyDescent="0.3">
      <c r="A24" s="2">
        <v>-80</v>
      </c>
      <c r="B24" s="14">
        <f>'RTD Resistance @ Temperature'!B15</f>
        <v>68.33</v>
      </c>
      <c r="C24" s="10">
        <f t="shared" si="0"/>
        <v>4.9660668651106991E-4</v>
      </c>
      <c r="D24" s="10">
        <f t="shared" si="1"/>
        <v>0.49660668651106993</v>
      </c>
      <c r="E24" s="10">
        <f t="shared" si="2"/>
        <v>33.933134889301407</v>
      </c>
      <c r="F24" s="10">
        <f t="shared" si="3"/>
        <v>1.9885386431640697</v>
      </c>
      <c r="G24" s="10">
        <f t="shared" si="4"/>
        <v>-19.387126018374744</v>
      </c>
      <c r="H24" s="133">
        <f t="shared" si="9"/>
        <v>0.19885386431640698</v>
      </c>
      <c r="I24" s="133"/>
      <c r="J24" s="133">
        <f t="shared" si="10"/>
        <v>0.19803503703782327</v>
      </c>
      <c r="K24" s="133"/>
      <c r="L24" s="39">
        <f t="shared" si="5"/>
        <v>-81.901178670225164</v>
      </c>
      <c r="M24" s="6">
        <f t="shared" si="6"/>
        <v>2.3764733377814551</v>
      </c>
      <c r="N24" s="39">
        <f t="shared" si="7"/>
        <v>-90.468442899245531</v>
      </c>
      <c r="O24" s="42">
        <f t="shared" si="8"/>
        <v>13.085553624056914</v>
      </c>
    </row>
    <row r="25" spans="1:16" x14ac:dyDescent="0.3">
      <c r="A25" s="2">
        <v>-70</v>
      </c>
      <c r="B25" s="14">
        <f>'RTD Resistance @ Temperature'!B16</f>
        <v>72.33</v>
      </c>
      <c r="C25" s="10">
        <f t="shared" si="0"/>
        <v>4.9640947030131066E-4</v>
      </c>
      <c r="D25" s="10">
        <f t="shared" si="1"/>
        <v>0.49640947030131066</v>
      </c>
      <c r="E25" s="10">
        <f t="shared" si="2"/>
        <v>35.905296986893802</v>
      </c>
      <c r="F25" s="10">
        <f t="shared" si="3"/>
        <v>1.9721620975923955</v>
      </c>
      <c r="G25" s="10">
        <f t="shared" si="4"/>
        <v>-17.414963920782348</v>
      </c>
      <c r="H25" s="133">
        <f t="shared" si="9"/>
        <v>0.19721620975923954</v>
      </c>
      <c r="I25" s="133"/>
      <c r="J25" s="133">
        <f t="shared" si="10"/>
        <v>0.19713792085454535</v>
      </c>
      <c r="K25" s="133"/>
      <c r="L25" s="39">
        <f t="shared" si="5"/>
        <v>-71.528438303203529</v>
      </c>
      <c r="M25" s="6">
        <f t="shared" si="6"/>
        <v>2.1834832902907562</v>
      </c>
      <c r="N25" s="39">
        <f t="shared" si="7"/>
        <v>-79.010663110982861</v>
      </c>
      <c r="O25" s="42">
        <f t="shared" si="8"/>
        <v>12.872375872832659</v>
      </c>
    </row>
    <row r="26" spans="1:16" x14ac:dyDescent="0.3">
      <c r="A26" s="2">
        <v>-60</v>
      </c>
      <c r="B26" s="14">
        <f>'RTD Resistance @ Temperature'!B17</f>
        <v>76.33</v>
      </c>
      <c r="C26" s="10">
        <f t="shared" si="0"/>
        <v>4.9621241066936082E-4</v>
      </c>
      <c r="D26" s="10">
        <f t="shared" si="1"/>
        <v>0.49621241066936084</v>
      </c>
      <c r="E26" s="10">
        <f t="shared" si="2"/>
        <v>37.875893306392314</v>
      </c>
      <c r="F26" s="10">
        <f t="shared" si="3"/>
        <v>1.9705963194985117</v>
      </c>
      <c r="G26" s="10">
        <f t="shared" si="4"/>
        <v>-15.444367601283837</v>
      </c>
      <c r="H26" s="133">
        <f t="shared" si="9"/>
        <v>0.19705963194985116</v>
      </c>
      <c r="I26" s="133"/>
      <c r="J26" s="133">
        <f t="shared" si="10"/>
        <v>0.19648937249967807</v>
      </c>
      <c r="K26" s="133"/>
      <c r="L26" s="39">
        <f t="shared" si="5"/>
        <v>-61.163933268186319</v>
      </c>
      <c r="M26" s="6">
        <f t="shared" si="6"/>
        <v>1.9398887803105325</v>
      </c>
      <c r="N26" s="39">
        <f t="shared" si="7"/>
        <v>-67.561980110767621</v>
      </c>
      <c r="O26" s="42">
        <f t="shared" si="8"/>
        <v>12.603300184612701</v>
      </c>
    </row>
    <row r="27" spans="1:16" x14ac:dyDescent="0.3">
      <c r="A27" s="2">
        <v>-50</v>
      </c>
      <c r="B27" s="14">
        <f>'RTD Resistance @ Temperature'!B18</f>
        <v>80.31</v>
      </c>
      <c r="C27" s="10">
        <f t="shared" si="0"/>
        <v>4.9601649155631134E-4</v>
      </c>
      <c r="D27" s="10">
        <f t="shared" si="1"/>
        <v>0.49601649155631133</v>
      </c>
      <c r="E27" s="10">
        <f t="shared" si="2"/>
        <v>39.835084436887364</v>
      </c>
      <c r="F27" s="10">
        <f t="shared" si="3"/>
        <v>1.95919113049505</v>
      </c>
      <c r="G27" s="10">
        <f t="shared" si="4"/>
        <v>-13.485176470788787</v>
      </c>
      <c r="H27" s="133">
        <f t="shared" si="9"/>
        <v>0.19591911304950499</v>
      </c>
      <c r="I27" s="133"/>
      <c r="J27" s="133">
        <f t="shared" si="10"/>
        <v>0.19535011164490398</v>
      </c>
      <c r="K27" s="133"/>
      <c r="L27" s="39">
        <f t="shared" si="5"/>
        <v>-50.85941471425712</v>
      </c>
      <c r="M27" s="6">
        <f t="shared" si="6"/>
        <v>1.7188294285142407</v>
      </c>
      <c r="N27" s="39">
        <f t="shared" si="7"/>
        <v>-56.179558471220822</v>
      </c>
      <c r="O27" s="42">
        <f t="shared" si="8"/>
        <v>12.359116942441645</v>
      </c>
    </row>
    <row r="28" spans="1:16" x14ac:dyDescent="0.3">
      <c r="A28" s="2">
        <v>-40</v>
      </c>
      <c r="B28" s="14">
        <f>'RTD Resistance @ Temperature'!B19</f>
        <v>84.27</v>
      </c>
      <c r="C28" s="10">
        <f t="shared" si="0"/>
        <v>4.9582171044607092E-4</v>
      </c>
      <c r="D28" s="10">
        <f t="shared" si="1"/>
        <v>0.49582171044607093</v>
      </c>
      <c r="E28" s="10">
        <f t="shared" si="2"/>
        <v>41.782895539290394</v>
      </c>
      <c r="F28" s="10">
        <f t="shared" si="3"/>
        <v>1.9478111024030298</v>
      </c>
      <c r="G28" s="10">
        <f t="shared" si="4"/>
        <v>-11.537365368385757</v>
      </c>
      <c r="H28" s="133">
        <f t="shared" si="9"/>
        <v>0.19478111024030298</v>
      </c>
      <c r="I28" s="133"/>
      <c r="J28" s="133">
        <f t="shared" si="10"/>
        <v>0.19445900506781227</v>
      </c>
      <c r="K28" s="133"/>
      <c r="L28" s="39">
        <f t="shared" si="5"/>
        <v>-40.614750305639838</v>
      </c>
      <c r="M28" s="6">
        <f t="shared" si="6"/>
        <v>1.5368757640995945</v>
      </c>
      <c r="N28" s="39">
        <f t="shared" si="7"/>
        <v>-44.863252013596338</v>
      </c>
      <c r="O28" s="42">
        <f t="shared" si="8"/>
        <v>12.158130033990844</v>
      </c>
    </row>
    <row r="29" spans="1:16" x14ac:dyDescent="0.3">
      <c r="A29" s="2">
        <v>-30</v>
      </c>
      <c r="B29" s="14">
        <f>'RTD Resistance @ Temperature'!B20</f>
        <v>88.22</v>
      </c>
      <c r="C29" s="10">
        <f t="shared" si="0"/>
        <v>4.9562757354617562E-4</v>
      </c>
      <c r="D29" s="10">
        <f t="shared" si="1"/>
        <v>0.49562757354617559</v>
      </c>
      <c r="E29" s="10">
        <f t="shared" si="2"/>
        <v>43.724264538243609</v>
      </c>
      <c r="F29" s="10">
        <f t="shared" si="3"/>
        <v>1.9413689989532159</v>
      </c>
      <c r="G29" s="10">
        <f t="shared" si="4"/>
        <v>-9.595996369432541</v>
      </c>
      <c r="H29" s="133">
        <f t="shared" si="9"/>
        <v>0.1941368998953216</v>
      </c>
      <c r="I29" s="133"/>
      <c r="J29" s="133">
        <f t="shared" si="10"/>
        <v>0.19381546147799397</v>
      </c>
      <c r="K29" s="133"/>
      <c r="L29" s="39">
        <f t="shared" si="5"/>
        <v>-30.40396864255548</v>
      </c>
      <c r="M29" s="6">
        <f t="shared" si="6"/>
        <v>1.3465621418515994</v>
      </c>
      <c r="N29" s="39">
        <f t="shared" si="7"/>
        <v>-33.584372602557565</v>
      </c>
      <c r="O29" s="42">
        <f t="shared" si="8"/>
        <v>11.947908675191883</v>
      </c>
    </row>
    <row r="30" spans="1:16" x14ac:dyDescent="0.3">
      <c r="A30" s="2">
        <v>-20</v>
      </c>
      <c r="B30" s="14">
        <f>'RTD Resistance @ Temperature'!B21</f>
        <v>92.16</v>
      </c>
      <c r="C30" s="10">
        <f t="shared" si="0"/>
        <v>4.9543407952311498E-4</v>
      </c>
      <c r="D30" s="10">
        <f t="shared" si="1"/>
        <v>0.49543407952311497</v>
      </c>
      <c r="E30" s="10">
        <f t="shared" si="2"/>
        <v>45.659204768850273</v>
      </c>
      <c r="F30" s="10">
        <f t="shared" si="3"/>
        <v>1.9349402306066636</v>
      </c>
      <c r="G30" s="10">
        <f t="shared" si="4"/>
        <v>-7.6610561388258773</v>
      </c>
      <c r="H30" s="133">
        <f t="shared" si="9"/>
        <v>0.19349402306066638</v>
      </c>
      <c r="I30" s="133"/>
      <c r="J30" s="133">
        <f t="shared" si="10"/>
        <v>0.1931732484461019</v>
      </c>
      <c r="K30" s="133"/>
      <c r="L30" s="39">
        <f t="shared" si="5"/>
        <v>-20.226999587988406</v>
      </c>
      <c r="M30" s="6">
        <f t="shared" si="6"/>
        <v>1.1349979399420285</v>
      </c>
      <c r="N30" s="39">
        <f t="shared" si="7"/>
        <v>-22.342842764413675</v>
      </c>
      <c r="O30" s="42">
        <f t="shared" si="8"/>
        <v>11.714213822068373</v>
      </c>
    </row>
    <row r="31" spans="1:16" x14ac:dyDescent="0.3">
      <c r="A31" s="2">
        <v>-10</v>
      </c>
      <c r="B31" s="14">
        <f>'RTD Resistance @ Temperature'!B22</f>
        <v>96.09</v>
      </c>
      <c r="C31" s="10">
        <f t="shared" si="0"/>
        <v>4.9524122704928345E-4</v>
      </c>
      <c r="D31" s="10">
        <f t="shared" si="1"/>
        <v>0.49524122704928347</v>
      </c>
      <c r="E31" s="10">
        <f t="shared" si="2"/>
        <v>47.587729507165648</v>
      </c>
      <c r="F31" s="10">
        <f t="shared" si="3"/>
        <v>1.9285247383153745</v>
      </c>
      <c r="G31" s="10">
        <f t="shared" si="4"/>
        <v>-5.7325314005105028</v>
      </c>
      <c r="H31" s="133">
        <f t="shared" si="9"/>
        <v>0.19285247383153745</v>
      </c>
      <c r="I31" s="133"/>
      <c r="J31" s="133">
        <f t="shared" si="10"/>
        <v>0.19228728630996167</v>
      </c>
      <c r="K31" s="133"/>
      <c r="L31" s="39">
        <f t="shared" si="5"/>
        <v>-10.083773315490518</v>
      </c>
      <c r="M31" s="6">
        <f t="shared" si="6"/>
        <v>0.83773315490518019</v>
      </c>
      <c r="N31" s="39">
        <f t="shared" si="7"/>
        <v>-11.138585368528272</v>
      </c>
      <c r="O31" s="42">
        <f t="shared" si="8"/>
        <v>11.385853685282719</v>
      </c>
    </row>
    <row r="32" spans="1:16" x14ac:dyDescent="0.3">
      <c r="A32" s="12">
        <v>0</v>
      </c>
      <c r="B32" s="51">
        <f>'RTD Resistance @ Temperature'!B23</f>
        <v>100</v>
      </c>
      <c r="C32" s="52">
        <f t="shared" si="0"/>
        <v>4.9504950495049506E-4</v>
      </c>
      <c r="D32" s="52">
        <f t="shared" si="1"/>
        <v>0.49504950495049505</v>
      </c>
      <c r="E32" s="52">
        <f t="shared" si="2"/>
        <v>49.504950495049506</v>
      </c>
      <c r="F32" s="52">
        <f t="shared" si="3"/>
        <v>1.9172209878838586</v>
      </c>
      <c r="G32" s="52">
        <f t="shared" si="4"/>
        <v>-3.8153104126266442</v>
      </c>
      <c r="H32" s="135">
        <f t="shared" si="9"/>
        <v>0.19172209878838586</v>
      </c>
      <c r="I32" s="135"/>
      <c r="J32" s="135">
        <f t="shared" si="10"/>
        <v>0.19140302176659035</v>
      </c>
      <c r="K32" s="135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67</v>
      </c>
    </row>
    <row r="33" spans="1:16" x14ac:dyDescent="0.3">
      <c r="A33" s="12">
        <v>10</v>
      </c>
      <c r="B33" s="14">
        <f>'RTD Resistance @ Temperature'!B24</f>
        <v>103.9</v>
      </c>
      <c r="C33" s="10">
        <f t="shared" si="0"/>
        <v>4.9485842100575027E-4</v>
      </c>
      <c r="D33" s="10">
        <f t="shared" si="1"/>
        <v>0.49485842100575028</v>
      </c>
      <c r="E33" s="10">
        <f t="shared" si="2"/>
        <v>51.415789942497454</v>
      </c>
      <c r="F33" s="10">
        <f t="shared" si="3"/>
        <v>1.9108394474479482</v>
      </c>
      <c r="G33" s="10">
        <f t="shared" si="4"/>
        <v>-1.904470965178696</v>
      </c>
      <c r="H33" s="133">
        <f t="shared" si="9"/>
        <v>0.19108394474479481</v>
      </c>
      <c r="I33" s="133"/>
      <c r="J33" s="133">
        <f t="shared" si="10"/>
        <v>0.1907655206313322</v>
      </c>
      <c r="K33" s="133"/>
      <c r="L33" s="39">
        <f t="shared" si="5"/>
        <v>10.050209105852701</v>
      </c>
      <c r="M33" s="6">
        <f t="shared" si="6"/>
        <v>0.50209105852701441</v>
      </c>
      <c r="N33" s="39">
        <f t="shared" si="7"/>
        <v>11.101510178251662</v>
      </c>
      <c r="O33" s="42">
        <f t="shared" si="8"/>
        <v>11.015101782516616</v>
      </c>
    </row>
    <row r="34" spans="1:16" x14ac:dyDescent="0.3">
      <c r="A34" s="12">
        <v>20</v>
      </c>
      <c r="B34" s="46">
        <f>'RTD Resistance @ Temperature'!B25</f>
        <v>107.79</v>
      </c>
      <c r="C34" s="47">
        <f>$D$4 / ($D$5 + $D$6 + B34)</f>
        <v>4.946679739092323E-4</v>
      </c>
      <c r="D34" s="47">
        <f t="shared" si="1"/>
        <v>0.49466797390923228</v>
      </c>
      <c r="E34" s="47">
        <f t="shared" si="2"/>
        <v>53.32026090767615</v>
      </c>
      <c r="F34" s="47">
        <f>E34-E33</f>
        <v>1.904470965178696</v>
      </c>
      <c r="G34" s="47">
        <f t="shared" si="4"/>
        <v>0</v>
      </c>
      <c r="H34" s="136">
        <f t="shared" si="9"/>
        <v>0.19044709651786959</v>
      </c>
      <c r="I34" s="136"/>
      <c r="J34" s="136">
        <f t="shared" si="10"/>
        <v>0.19012932241729957</v>
      </c>
      <c r="K34" s="136"/>
      <c r="L34" s="48">
        <f t="shared" si="5"/>
        <v>20.066922682513567</v>
      </c>
      <c r="M34" s="49">
        <f t="shared" si="6"/>
        <v>0.33461341256783683</v>
      </c>
      <c r="N34" s="48">
        <f t="shared" si="7"/>
        <v>22.166021030983568</v>
      </c>
      <c r="O34" s="50">
        <f t="shared" si="8"/>
        <v>10.830105154917842</v>
      </c>
      <c r="P34" s="1" t="s">
        <v>66</v>
      </c>
    </row>
    <row r="35" spans="1:16" x14ac:dyDescent="0.3">
      <c r="A35" s="12">
        <v>30</v>
      </c>
      <c r="B35" s="14">
        <f>'RTD Resistance @ Temperature'!B26</f>
        <v>111.67</v>
      </c>
      <c r="C35" s="10">
        <f t="shared" si="0"/>
        <v>4.9447816236091564E-4</v>
      </c>
      <c r="D35" s="10">
        <f t="shared" si="1"/>
        <v>0.49447816236091563</v>
      </c>
      <c r="E35" s="10">
        <f t="shared" si="2"/>
        <v>55.218376390843446</v>
      </c>
      <c r="F35" s="10">
        <f t="shared" si="3"/>
        <v>1.8981154831672953</v>
      </c>
      <c r="G35" s="10">
        <f t="shared" si="4"/>
        <v>1.8981154831672953</v>
      </c>
      <c r="H35" s="133">
        <f t="shared" si="9"/>
        <v>0.18981154831672953</v>
      </c>
      <c r="I35" s="133"/>
      <c r="J35" s="133">
        <f t="shared" si="10"/>
        <v>0.18949442134560074</v>
      </c>
      <c r="K35" s="133"/>
      <c r="L35" s="39">
        <f t="shared" si="5"/>
        <v>30.050209105852698</v>
      </c>
      <c r="M35" s="6">
        <f t="shared" si="6"/>
        <v>0.16736368617565964</v>
      </c>
      <c r="N35" s="39">
        <f t="shared" si="7"/>
        <v>33.193608086516555</v>
      </c>
      <c r="O35" s="42">
        <f t="shared" si="8"/>
        <v>10.645360288388517</v>
      </c>
    </row>
    <row r="36" spans="1:16" x14ac:dyDescent="0.3">
      <c r="A36" s="12">
        <v>40</v>
      </c>
      <c r="B36" s="14">
        <f>'RTD Resistance @ Temperature'!B27</f>
        <v>115.54</v>
      </c>
      <c r="C36" s="10">
        <f t="shared" si="0"/>
        <v>4.9428898506654109E-4</v>
      </c>
      <c r="D36" s="10">
        <f t="shared" si="1"/>
        <v>0.49428898506654112</v>
      </c>
      <c r="E36" s="10">
        <f t="shared" si="2"/>
        <v>57.110149334588165</v>
      </c>
      <c r="F36" s="10">
        <f t="shared" si="3"/>
        <v>1.8917729437447193</v>
      </c>
      <c r="G36" s="10">
        <f t="shared" si="4"/>
        <v>3.7898884269120146</v>
      </c>
      <c r="H36" s="133">
        <f t="shared" si="9"/>
        <v>0.18917729437447192</v>
      </c>
      <c r="I36" s="133"/>
      <c r="J36" s="133">
        <f t="shared" si="10"/>
        <v>0.18886081166125876</v>
      </c>
      <c r="K36" s="133"/>
      <c r="L36" s="39">
        <f t="shared" si="5"/>
        <v>40.000136448425451</v>
      </c>
      <c r="M36" s="6">
        <f t="shared" si="6"/>
        <v>3.411210636272699E-4</v>
      </c>
      <c r="N36" s="39">
        <f t="shared" si="7"/>
        <v>44.184346538128509</v>
      </c>
      <c r="O36" s="42">
        <f t="shared" si="8"/>
        <v>10.460866345321271</v>
      </c>
    </row>
    <row r="37" spans="1:16" x14ac:dyDescent="0.3">
      <c r="A37" s="12">
        <v>50</v>
      </c>
      <c r="B37" s="14">
        <f>'RTD Resistance @ Temperature'!B28</f>
        <v>119.4</v>
      </c>
      <c r="C37" s="10">
        <f t="shared" si="0"/>
        <v>4.9410044073759315E-4</v>
      </c>
      <c r="D37" s="10">
        <f t="shared" si="1"/>
        <v>0.49410044073759313</v>
      </c>
      <c r="E37" s="10">
        <f t="shared" si="2"/>
        <v>58.995592624068621</v>
      </c>
      <c r="F37" s="10">
        <f t="shared" si="3"/>
        <v>1.885443289480456</v>
      </c>
      <c r="G37" s="10">
        <f t="shared" si="4"/>
        <v>5.6753317163924706</v>
      </c>
      <c r="H37" s="133">
        <f t="shared" si="9"/>
        <v>0.1885443289480456</v>
      </c>
      <c r="I37" s="133"/>
      <c r="J37" s="133">
        <f t="shared" si="10"/>
        <v>0.18798453780668858</v>
      </c>
      <c r="K37" s="133"/>
      <c r="L37" s="39">
        <f t="shared" si="5"/>
        <v>49.91677248072692</v>
      </c>
      <c r="M37" s="6">
        <f t="shared" si="6"/>
        <v>-0.16645503854616095</v>
      </c>
      <c r="N37" s="39">
        <f t="shared" si="7"/>
        <v>55.138311245440086</v>
      </c>
      <c r="O37" s="42">
        <f t="shared" si="8"/>
        <v>10.276622490880172</v>
      </c>
    </row>
    <row r="38" spans="1:16" x14ac:dyDescent="0.3">
      <c r="A38" s="12">
        <v>60</v>
      </c>
      <c r="B38" s="14">
        <f>'RTD Resistance @ Temperature'!B29</f>
        <v>123.24</v>
      </c>
      <c r="C38" s="10">
        <f t="shared" si="0"/>
        <v>4.9391301599092778E-4</v>
      </c>
      <c r="D38" s="10">
        <f t="shared" si="1"/>
        <v>0.4939130159909278</v>
      </c>
      <c r="E38" s="10">
        <f t="shared" si="2"/>
        <v>60.869840090721937</v>
      </c>
      <c r="F38" s="10">
        <f t="shared" si="3"/>
        <v>1.8742474666533155</v>
      </c>
      <c r="G38" s="10">
        <f t="shared" si="4"/>
        <v>7.5495791830457861</v>
      </c>
      <c r="H38" s="133">
        <f t="shared" si="9"/>
        <v>0.18742474666533154</v>
      </c>
      <c r="I38" s="133"/>
      <c r="J38" s="133">
        <f t="shared" si="10"/>
        <v>0.18735367869438768</v>
      </c>
      <c r="K38" s="133"/>
      <c r="L38" s="39">
        <f t="shared" si="5"/>
        <v>59.774523209673823</v>
      </c>
      <c r="M38" s="6">
        <f t="shared" si="6"/>
        <v>-0.37579465054362754</v>
      </c>
      <c r="N38" s="39">
        <f t="shared" si="7"/>
        <v>66.02723095839832</v>
      </c>
      <c r="O38" s="42">
        <f t="shared" si="8"/>
        <v>10.045384930663866</v>
      </c>
    </row>
    <row r="39" spans="1:16" x14ac:dyDescent="0.3">
      <c r="A39" s="12">
        <v>70</v>
      </c>
      <c r="B39" s="14">
        <f>'RTD Resistance @ Temperature'!B30</f>
        <v>127.08</v>
      </c>
      <c r="C39" s="10">
        <f t="shared" si="0"/>
        <v>4.9372573338020442E-4</v>
      </c>
      <c r="D39" s="10">
        <f t="shared" si="1"/>
        <v>0.49372573338020442</v>
      </c>
      <c r="E39" s="10">
        <f t="shared" si="2"/>
        <v>62.742666197956375</v>
      </c>
      <c r="F39" s="10">
        <f t="shared" si="3"/>
        <v>1.8728261072344381</v>
      </c>
      <c r="G39" s="10">
        <f t="shared" si="4"/>
        <v>9.4224052902802242</v>
      </c>
      <c r="H39" s="133">
        <f t="shared" si="9"/>
        <v>0.18728261072344382</v>
      </c>
      <c r="I39" s="133"/>
      <c r="J39" s="133">
        <f t="shared" si="10"/>
        <v>0.18672446191801911</v>
      </c>
      <c r="K39" s="133"/>
      <c r="L39" s="39">
        <f t="shared" si="5"/>
        <v>69.624798187901121</v>
      </c>
      <c r="M39" s="6">
        <f t="shared" si="6"/>
        <v>-0.53600258871268491</v>
      </c>
      <c r="N39" s="39">
        <f t="shared" si="7"/>
        <v>76.907892920514797</v>
      </c>
      <c r="O39" s="42">
        <f t="shared" si="8"/>
        <v>9.868418457878283</v>
      </c>
    </row>
    <row r="40" spans="1:16" x14ac:dyDescent="0.3">
      <c r="A40" s="12">
        <v>80</v>
      </c>
      <c r="B40" s="14">
        <f>'RTD Resistance @ Temperature'!B31</f>
        <v>130.9</v>
      </c>
      <c r="C40" s="10">
        <f t="shared" si="0"/>
        <v>4.9353956706709183E-4</v>
      </c>
      <c r="D40" s="10">
        <f t="shared" si="1"/>
        <v>0.49353956706709184</v>
      </c>
      <c r="E40" s="10">
        <f t="shared" si="2"/>
        <v>64.604329329082319</v>
      </c>
      <c r="F40" s="10">
        <f t="shared" si="3"/>
        <v>1.8616631311259439</v>
      </c>
      <c r="G40" s="10">
        <f t="shared" si="4"/>
        <v>11.284068421406168</v>
      </c>
      <c r="H40" s="133">
        <f t="shared" si="9"/>
        <v>0.18616631311259441</v>
      </c>
      <c r="I40" s="133"/>
      <c r="J40" s="133">
        <f t="shared" si="10"/>
        <v>0.18585274495722892</v>
      </c>
      <c r="K40" s="133"/>
      <c r="L40" s="39">
        <f t="shared" si="5"/>
        <v>79.416360622652405</v>
      </c>
      <c r="M40" s="6">
        <f t="shared" si="6"/>
        <v>-0.72954922168449343</v>
      </c>
      <c r="N40" s="39">
        <f t="shared" si="7"/>
        <v>87.723700719685482</v>
      </c>
      <c r="O40" s="42">
        <f t="shared" si="8"/>
        <v>9.6546258996068524</v>
      </c>
    </row>
    <row r="41" spans="1:16" x14ac:dyDescent="0.3">
      <c r="A41" s="12">
        <v>90</v>
      </c>
      <c r="B41" s="14">
        <f>'RTD Resistance @ Temperature'!B32</f>
        <v>134.71</v>
      </c>
      <c r="C41" s="10">
        <f t="shared" si="0"/>
        <v>4.933540278902899E-4</v>
      </c>
      <c r="D41" s="10">
        <f t="shared" si="1"/>
        <v>0.49335402789028987</v>
      </c>
      <c r="E41" s="10">
        <f t="shared" si="2"/>
        <v>66.459721097100953</v>
      </c>
      <c r="F41" s="10">
        <f t="shared" si="3"/>
        <v>1.8553917680186345</v>
      </c>
      <c r="G41" s="10">
        <f t="shared" si="4"/>
        <v>13.139460189424803</v>
      </c>
      <c r="H41" s="133">
        <f t="shared" si="9"/>
        <v>0.18553917680186344</v>
      </c>
      <c r="I41" s="133"/>
      <c r="J41" s="133">
        <f t="shared" si="10"/>
        <v>0.18522623666498106</v>
      </c>
      <c r="K41" s="133"/>
      <c r="L41" s="39">
        <f t="shared" si="5"/>
        <v>89.174938334018691</v>
      </c>
      <c r="M41" s="6">
        <f t="shared" si="6"/>
        <v>-0.91673518442367663</v>
      </c>
      <c r="N41" s="39">
        <f t="shared" si="7"/>
        <v>98.503073431931256</v>
      </c>
      <c r="O41" s="42">
        <f t="shared" si="8"/>
        <v>9.447859368812507</v>
      </c>
    </row>
    <row r="42" spans="1:16" x14ac:dyDescent="0.3">
      <c r="A42" s="12">
        <v>100</v>
      </c>
      <c r="B42" s="14">
        <f>'RTD Resistance @ Temperature'!B33</f>
        <v>138.51</v>
      </c>
      <c r="C42" s="10">
        <f t="shared" si="0"/>
        <v>4.9316911459376179E-4</v>
      </c>
      <c r="D42" s="10">
        <f t="shared" si="1"/>
        <v>0.49316911459376178</v>
      </c>
      <c r="E42" s="10">
        <f t="shared" si="2"/>
        <v>68.30885406238194</v>
      </c>
      <c r="F42" s="10">
        <f t="shared" si="3"/>
        <v>1.8491329652809867</v>
      </c>
      <c r="G42" s="10">
        <f t="shared" si="4"/>
        <v>14.988593154705789</v>
      </c>
      <c r="H42" s="133">
        <f t="shared" si="9"/>
        <v>0.18491329652809868</v>
      </c>
      <c r="I42" s="133"/>
      <c r="J42" s="133">
        <f t="shared" si="10"/>
        <v>0.18435794733775096</v>
      </c>
      <c r="K42" s="133"/>
      <c r="L42" s="39">
        <f t="shared" si="5"/>
        <v>98.900597384243852</v>
      </c>
      <c r="M42" s="6">
        <f t="shared" si="6"/>
        <v>-1.0994026157561478</v>
      </c>
      <c r="N42" s="39">
        <f t="shared" si="7"/>
        <v>109.2460840299301</v>
      </c>
      <c r="O42" s="42">
        <f t="shared" si="8"/>
        <v>9.2460840299301026</v>
      </c>
    </row>
    <row r="43" spans="1:16" x14ac:dyDescent="0.3">
      <c r="A43" s="12">
        <v>110</v>
      </c>
      <c r="B43" s="14">
        <f>'RTD Resistance @ Temperature'!B34</f>
        <v>142.29</v>
      </c>
      <c r="C43" s="10">
        <f t="shared" si="0"/>
        <v>4.9298531199561439E-4</v>
      </c>
      <c r="D43" s="10">
        <f t="shared" si="1"/>
        <v>0.49298531199561441</v>
      </c>
      <c r="E43" s="10">
        <f t="shared" si="2"/>
        <v>70.146880043855973</v>
      </c>
      <c r="F43" s="10">
        <f t="shared" si="3"/>
        <v>1.8380259814740327</v>
      </c>
      <c r="G43" s="10">
        <f t="shared" si="4"/>
        <v>16.826619136179822</v>
      </c>
      <c r="H43" s="133">
        <f t="shared" si="9"/>
        <v>0.18380259814740327</v>
      </c>
      <c r="I43" s="133"/>
      <c r="J43" s="133">
        <f t="shared" si="10"/>
        <v>0.18373412101083703</v>
      </c>
      <c r="K43" s="133"/>
      <c r="L43" s="39">
        <f t="shared" si="5"/>
        <v>108.56783838686994</v>
      </c>
      <c r="M43" s="6">
        <f t="shared" si="6"/>
        <v>-1.3019651028455119</v>
      </c>
      <c r="N43" s="39">
        <f t="shared" si="7"/>
        <v>119.92456576657051</v>
      </c>
      <c r="O43" s="42">
        <f t="shared" si="8"/>
        <v>9.0223325150640985</v>
      </c>
    </row>
    <row r="44" spans="1:16" x14ac:dyDescent="0.3">
      <c r="A44" s="12">
        <v>120</v>
      </c>
      <c r="B44" s="14">
        <f>'RTD Resistance @ Temperature'!B35</f>
        <v>146.07</v>
      </c>
      <c r="C44" s="10">
        <f t="shared" si="0"/>
        <v>4.928016463517401E-4</v>
      </c>
      <c r="D44" s="10">
        <f t="shared" si="1"/>
        <v>0.49280164635174012</v>
      </c>
      <c r="E44" s="10">
        <f t="shared" si="2"/>
        <v>71.98353648259868</v>
      </c>
      <c r="F44" s="10">
        <f t="shared" si="3"/>
        <v>1.8366564387427076</v>
      </c>
      <c r="G44" s="10">
        <f t="shared" si="4"/>
        <v>18.66327557492253</v>
      </c>
      <c r="H44" s="133">
        <f t="shared" si="9"/>
        <v>0.18366564387427076</v>
      </c>
      <c r="I44" s="133"/>
      <c r="J44" s="133">
        <f t="shared" si="10"/>
        <v>0.18311189706856865</v>
      </c>
      <c r="K44" s="133"/>
      <c r="L44" s="39">
        <f t="shared" si="5"/>
        <v>118.22787617268594</v>
      </c>
      <c r="M44" s="6">
        <f t="shared" si="6"/>
        <v>-1.4767698560950511</v>
      </c>
      <c r="N44" s="39">
        <f t="shared" si="7"/>
        <v>130.5950907946598</v>
      </c>
      <c r="O44" s="42">
        <f t="shared" si="8"/>
        <v>8.8292423288831632</v>
      </c>
    </row>
    <row r="45" spans="1:16" x14ac:dyDescent="0.3">
      <c r="A45" s="12">
        <v>130</v>
      </c>
      <c r="B45" s="14">
        <f>'RTD Resistance @ Temperature'!B36</f>
        <v>149.83000000000001</v>
      </c>
      <c r="C45" s="10">
        <f t="shared" si="0"/>
        <v>4.9261908820147728E-4</v>
      </c>
      <c r="D45" s="10">
        <f t="shared" si="1"/>
        <v>0.49261908820147726</v>
      </c>
      <c r="E45" s="10">
        <f t="shared" si="2"/>
        <v>73.809117985227346</v>
      </c>
      <c r="F45" s="10">
        <f t="shared" si="3"/>
        <v>1.8255815026286655</v>
      </c>
      <c r="G45" s="10">
        <f t="shared" si="4"/>
        <v>20.488857077551195</v>
      </c>
      <c r="H45" s="133">
        <f t="shared" si="9"/>
        <v>0.18255815026286654</v>
      </c>
      <c r="I45" s="133"/>
      <c r="J45" s="133">
        <f t="shared" si="10"/>
        <v>0.18224805261304694</v>
      </c>
      <c r="K45" s="133"/>
      <c r="L45" s="39">
        <f t="shared" si="5"/>
        <v>127.82966446824322</v>
      </c>
      <c r="M45" s="6">
        <f t="shared" si="6"/>
        <v>-1.669488870582136</v>
      </c>
      <c r="N45" s="39">
        <f>($E45-$M$2)/$M$7</f>
        <v>141.20127315065398</v>
      </c>
      <c r="O45" s="42">
        <f t="shared" si="8"/>
        <v>8.61636396204152</v>
      </c>
    </row>
    <row r="46" spans="1:16" x14ac:dyDescent="0.3">
      <c r="A46" s="12">
        <v>140</v>
      </c>
      <c r="B46" s="14">
        <f>'RTD Resistance @ Temperature'!B37</f>
        <v>153.58000000000001</v>
      </c>
      <c r="C46" s="10">
        <f t="shared" si="0"/>
        <v>4.9243715024651399E-4</v>
      </c>
      <c r="D46" s="10">
        <f t="shared" si="1"/>
        <v>0.49243715024651397</v>
      </c>
      <c r="E46" s="10">
        <f t="shared" si="2"/>
        <v>75.628497534859619</v>
      </c>
      <c r="F46" s="10">
        <f t="shared" si="3"/>
        <v>1.8193795496322736</v>
      </c>
      <c r="G46" s="10">
        <f t="shared" si="4"/>
        <v>22.308236627183469</v>
      </c>
      <c r="H46" s="133">
        <f t="shared" si="9"/>
        <v>0.18193795496322734</v>
      </c>
      <c r="I46" s="133"/>
      <c r="J46" s="133">
        <f t="shared" si="10"/>
        <v>0.18187078501491455</v>
      </c>
      <c r="K46" s="133"/>
      <c r="L46" s="39">
        <f t="shared" si="5"/>
        <v>137.3988331083074</v>
      </c>
      <c r="M46" s="6">
        <f t="shared" si="6"/>
        <v>-1.8579763512089997</v>
      </c>
      <c r="N46" s="39">
        <f t="shared" si="7"/>
        <v>151.77142367550374</v>
      </c>
      <c r="O46" s="42">
        <f t="shared" si="8"/>
        <v>8.408159768216958</v>
      </c>
    </row>
    <row r="47" spans="1:16" x14ac:dyDescent="0.3">
      <c r="A47" s="12">
        <v>150</v>
      </c>
      <c r="B47" s="14">
        <f>'RTD Resistance @ Temperature'!B38</f>
        <v>157.33000000000001</v>
      </c>
      <c r="C47" s="10">
        <f t="shared" si="0"/>
        <v>4.9225534663144743E-4</v>
      </c>
      <c r="D47" s="10">
        <f t="shared" si="1"/>
        <v>0.49225534663144743</v>
      </c>
      <c r="E47" s="10">
        <f t="shared" si="2"/>
        <v>77.446533685525637</v>
      </c>
      <c r="F47" s="10">
        <f t="shared" si="3"/>
        <v>1.8180361506660176</v>
      </c>
      <c r="G47" s="10">
        <f t="shared" si="4"/>
        <v>24.126272777849486</v>
      </c>
      <c r="H47" s="133">
        <f t="shared" si="9"/>
        <v>0.18180361506660175</v>
      </c>
      <c r="I47" s="133"/>
      <c r="J47" s="133">
        <f t="shared" si="10"/>
        <v>0.18101010783046476</v>
      </c>
      <c r="K47" s="133"/>
      <c r="L47" s="39">
        <f t="shared" si="5"/>
        <v>146.9609360367329</v>
      </c>
      <c r="M47" s="6">
        <f t="shared" si="6"/>
        <v>-2.0260426421780648</v>
      </c>
      <c r="N47" s="39">
        <f t="shared" si="7"/>
        <v>162.3337693806879</v>
      </c>
      <c r="O47" s="42">
        <f t="shared" si="8"/>
        <v>8.2225129204585983</v>
      </c>
    </row>
    <row r="48" spans="1:16" x14ac:dyDescent="0.3">
      <c r="A48" s="12">
        <v>160</v>
      </c>
      <c r="B48" s="14">
        <f>'RTD Resistance @ Temperature'!B39</f>
        <v>161.05000000000001</v>
      </c>
      <c r="C48" s="10">
        <f t="shared" si="0"/>
        <v>4.9207513003085318E-4</v>
      </c>
      <c r="D48" s="10">
        <f t="shared" si="1"/>
        <v>0.49207513003085318</v>
      </c>
      <c r="E48" s="10">
        <f t="shared" si="2"/>
        <v>79.248699691468914</v>
      </c>
      <c r="F48" s="10">
        <f t="shared" si="3"/>
        <v>1.8021660059432776</v>
      </c>
      <c r="G48" s="10">
        <f t="shared" si="4"/>
        <v>25.928438783792764</v>
      </c>
      <c r="H48" s="133">
        <f t="shared" si="9"/>
        <v>0.18021660059432776</v>
      </c>
      <c r="I48" s="133"/>
      <c r="J48" s="133">
        <f t="shared" si="10"/>
        <v>0.18015064674055453</v>
      </c>
      <c r="K48" s="133"/>
      <c r="L48" s="39">
        <f t="shared" si="5"/>
        <v>156.4395687012298</v>
      </c>
      <c r="M48" s="6">
        <f t="shared" si="6"/>
        <v>-2.2252695617313734</v>
      </c>
      <c r="N48" s="39">
        <f t="shared" si="7"/>
        <v>172.80391342371504</v>
      </c>
      <c r="O48" s="42">
        <f t="shared" si="8"/>
        <v>8.0024458898219031</v>
      </c>
    </row>
    <row r="49" spans="1:15" x14ac:dyDescent="0.3">
      <c r="A49" s="12">
        <v>170</v>
      </c>
      <c r="B49" s="14">
        <f>'RTD Resistance @ Temperature'!B40</f>
        <v>164.77</v>
      </c>
      <c r="C49" s="10">
        <f t="shared" si="0"/>
        <v>4.9189504533796635E-4</v>
      </c>
      <c r="D49" s="10">
        <f t="shared" si="1"/>
        <v>0.49189504533796635</v>
      </c>
      <c r="E49" s="10">
        <f t="shared" si="2"/>
        <v>81.049546620336727</v>
      </c>
      <c r="F49" s="10">
        <f t="shared" si="3"/>
        <v>1.8008469288678128</v>
      </c>
      <c r="G49" s="10">
        <f t="shared" si="4"/>
        <v>27.729285712660577</v>
      </c>
      <c r="H49" s="133">
        <f t="shared" si="9"/>
        <v>0.18008469288678128</v>
      </c>
      <c r="I49" s="133"/>
      <c r="J49" s="133">
        <f t="shared" si="10"/>
        <v>0.17977702744801646</v>
      </c>
      <c r="K49" s="133"/>
      <c r="L49" s="39">
        <f t="shared" si="5"/>
        <v>165.91126357696959</v>
      </c>
      <c r="M49" s="6">
        <f t="shared" si="6"/>
        <v>-2.4051390723708304</v>
      </c>
      <c r="N49" s="39">
        <f t="shared" si="7"/>
        <v>183.26639395131775</v>
      </c>
      <c r="O49" s="42">
        <f t="shared" si="8"/>
        <v>7.8037611478339723</v>
      </c>
    </row>
    <row r="50" spans="1:15" x14ac:dyDescent="0.3">
      <c r="A50" s="12">
        <v>180</v>
      </c>
      <c r="B50" s="14">
        <f>'RTD Resistance @ Temperature'!B41</f>
        <v>168.48</v>
      </c>
      <c r="C50" s="10">
        <f t="shared" si="0"/>
        <v>4.9171557597595713E-4</v>
      </c>
      <c r="D50" s="10">
        <f t="shared" si="1"/>
        <v>0.49171557597595711</v>
      </c>
      <c r="E50" s="10">
        <f t="shared" si="2"/>
        <v>82.844240240429244</v>
      </c>
      <c r="F50" s="10">
        <f t="shared" si="3"/>
        <v>1.7946936200925165</v>
      </c>
      <c r="G50" s="10">
        <f t="shared" si="4"/>
        <v>29.523979332753093</v>
      </c>
      <c r="H50" s="133">
        <f t="shared" si="9"/>
        <v>0.17946936200925165</v>
      </c>
      <c r="I50" s="133"/>
      <c r="J50" s="133">
        <f t="shared" si="10"/>
        <v>0.17892068926792107</v>
      </c>
      <c r="K50" s="133"/>
      <c r="L50" s="39">
        <f t="shared" si="5"/>
        <v>175.35059464529101</v>
      </c>
      <c r="M50" s="6">
        <f t="shared" si="6"/>
        <v>-2.5830029748383274</v>
      </c>
      <c r="N50" s="39">
        <f t="shared" si="7"/>
        <v>193.69312525881193</v>
      </c>
      <c r="O50" s="42">
        <f t="shared" si="8"/>
        <v>7.6072918104510734</v>
      </c>
    </row>
    <row r="51" spans="1:15" x14ac:dyDescent="0.3">
      <c r="A51" s="12">
        <v>190</v>
      </c>
      <c r="B51" s="14">
        <f>'RTD Resistance @ Temperature'!B42</f>
        <v>172.17</v>
      </c>
      <c r="C51" s="10">
        <f t="shared" si="0"/>
        <v>4.9153720395943051E-4</v>
      </c>
      <c r="D51" s="10">
        <f t="shared" si="1"/>
        <v>0.49153720395943051</v>
      </c>
      <c r="E51" s="10">
        <f t="shared" si="2"/>
        <v>84.627960405695148</v>
      </c>
      <c r="F51" s="10">
        <f t="shared" si="3"/>
        <v>1.7837201652659047</v>
      </c>
      <c r="G51" s="10">
        <f t="shared" si="4"/>
        <v>31.307699498018998</v>
      </c>
      <c r="H51" s="133">
        <f t="shared" si="9"/>
        <v>0.17837201652659046</v>
      </c>
      <c r="I51" s="133"/>
      <c r="J51" s="133">
        <f t="shared" si="10"/>
        <v>0.17830733474628033</v>
      </c>
      <c r="K51" s="133"/>
      <c r="L51" s="39">
        <f t="shared" si="5"/>
        <v>184.73220997209978</v>
      </c>
      <c r="M51" s="6">
        <f t="shared" si="6"/>
        <v>-2.7725210673159046</v>
      </c>
      <c r="N51" s="39">
        <f t="shared" si="7"/>
        <v>204.05610347568884</v>
      </c>
      <c r="O51" s="42">
        <f t="shared" si="8"/>
        <v>7.3979491977309699</v>
      </c>
    </row>
    <row r="52" spans="1:15" x14ac:dyDescent="0.3">
      <c r="A52" s="12">
        <v>200</v>
      </c>
      <c r="B52" s="14">
        <f>'RTD Resistance @ Temperature'!B43</f>
        <v>175.86</v>
      </c>
      <c r="C52" s="10">
        <f t="shared" si="0"/>
        <v>4.9135896130646445E-4</v>
      </c>
      <c r="D52" s="10">
        <f t="shared" si="1"/>
        <v>0.49135896130646445</v>
      </c>
      <c r="E52" s="10">
        <f t="shared" si="2"/>
        <v>86.41038693535485</v>
      </c>
      <c r="F52" s="10">
        <f t="shared" si="3"/>
        <v>1.7824265296597019</v>
      </c>
      <c r="G52" s="10">
        <f t="shared" si="4"/>
        <v>33.0901260276787</v>
      </c>
      <c r="H52" s="133">
        <f t="shared" si="9"/>
        <v>0.17824265296597019</v>
      </c>
      <c r="I52" s="133"/>
      <c r="J52" s="133">
        <f t="shared" si="10"/>
        <v>0.17769552332678415</v>
      </c>
      <c r="K52" s="133"/>
      <c r="L52" s="39">
        <f t="shared" si="5"/>
        <v>194.10702132154327</v>
      </c>
      <c r="M52" s="6">
        <f t="shared" si="6"/>
        <v>-2.9464893392283642</v>
      </c>
      <c r="N52" s="39">
        <f t="shared" si="7"/>
        <v>214.41156598585977</v>
      </c>
      <c r="O52" s="42">
        <f t="shared" si="8"/>
        <v>7.2057829929298833</v>
      </c>
    </row>
    <row r="53" spans="1:15" x14ac:dyDescent="0.3">
      <c r="A53" s="12">
        <v>210</v>
      </c>
      <c r="B53" s="14">
        <f>'RTD Resistance @ Temperature'!B44</f>
        <v>179.53</v>
      </c>
      <c r="C53" s="10">
        <f t="shared" si="0"/>
        <v>4.9118181291277685E-4</v>
      </c>
      <c r="D53" s="10">
        <f t="shared" si="1"/>
        <v>0.49118181291277685</v>
      </c>
      <c r="E53" s="10">
        <f t="shared" si="2"/>
        <v>88.181870872230832</v>
      </c>
      <c r="F53" s="10">
        <f t="shared" si="3"/>
        <v>1.7714839368759812</v>
      </c>
      <c r="G53" s="10">
        <f t="shared" si="4"/>
        <v>34.861609964554681</v>
      </c>
      <c r="H53" s="133">
        <f t="shared" si="9"/>
        <v>0.1771483936875981</v>
      </c>
      <c r="I53" s="133"/>
      <c r="J53" s="133">
        <f t="shared" si="10"/>
        <v>0.17684346390356964</v>
      </c>
      <c r="K53" s="133"/>
      <c r="L53" s="39">
        <f t="shared" si="5"/>
        <v>203.42427925079573</v>
      </c>
      <c r="M53" s="6">
        <f t="shared" si="6"/>
        <v>-3.1312955948591736</v>
      </c>
      <c r="N53" s="39">
        <f t="shared" si="7"/>
        <v>224.7034547063399</v>
      </c>
      <c r="O53" s="42">
        <f t="shared" si="8"/>
        <v>7.0016450982570939</v>
      </c>
    </row>
    <row r="54" spans="1:15" x14ac:dyDescent="0.3">
      <c r="A54" s="12">
        <v>220</v>
      </c>
      <c r="B54" s="14">
        <f>'RTD Resistance @ Temperature'!B45</f>
        <v>183.19</v>
      </c>
      <c r="C54" s="10">
        <f t="shared" si="0"/>
        <v>4.9100527437865736E-4</v>
      </c>
      <c r="D54" s="10">
        <f t="shared" si="1"/>
        <v>0.49100527437865737</v>
      </c>
      <c r="E54" s="10">
        <f t="shared" si="2"/>
        <v>89.947256213426243</v>
      </c>
      <c r="F54" s="10">
        <f t="shared" si="3"/>
        <v>1.7653853411954117</v>
      </c>
      <c r="G54" s="10">
        <f t="shared" si="4"/>
        <v>36.626995305750093</v>
      </c>
      <c r="H54" s="133">
        <f t="shared" si="9"/>
        <v>0.17653853411954118</v>
      </c>
      <c r="I54" s="133"/>
      <c r="J54" s="133">
        <f t="shared" si="10"/>
        <v>0.17623419295838544</v>
      </c>
      <c r="K54" s="133"/>
      <c r="L54" s="39">
        <f t="shared" si="5"/>
        <v>212.70946114041877</v>
      </c>
      <c r="M54" s="6">
        <f t="shared" si="6"/>
        <v>-3.3138812998096512</v>
      </c>
      <c r="N54" s="39">
        <f t="shared" si="7"/>
        <v>234.95991207641993</v>
      </c>
      <c r="O54" s="42">
        <f t="shared" si="8"/>
        <v>6.7999600347363298</v>
      </c>
    </row>
    <row r="55" spans="1:15" x14ac:dyDescent="0.3">
      <c r="A55" s="12">
        <v>230</v>
      </c>
      <c r="B55" s="14">
        <f>'RTD Resistance @ Temperature'!B46</f>
        <v>186.84</v>
      </c>
      <c r="C55" s="10">
        <f t="shared" si="0"/>
        <v>4.9082934452686008E-4</v>
      </c>
      <c r="D55" s="10">
        <f t="shared" si="1"/>
        <v>0.49082934452686011</v>
      </c>
      <c r="E55" s="10">
        <f t="shared" si="2"/>
        <v>91.706554731398541</v>
      </c>
      <c r="F55" s="10">
        <f t="shared" si="3"/>
        <v>1.7592985179722973</v>
      </c>
      <c r="G55" s="10">
        <f t="shared" si="4"/>
        <v>38.38629382372239</v>
      </c>
      <c r="H55" s="133">
        <f t="shared" si="9"/>
        <v>0.17592985179722972</v>
      </c>
      <c r="I55" s="133"/>
      <c r="J55" s="133">
        <f t="shared" si="10"/>
        <v>0.17538535501682589</v>
      </c>
      <c r="K55" s="133"/>
      <c r="L55" s="39">
        <f t="shared" si="5"/>
        <v>221.96262890857057</v>
      </c>
      <c r="M55" s="6">
        <f t="shared" si="6"/>
        <v>-3.4945091701867113</v>
      </c>
      <c r="N55" s="39">
        <f t="shared" si="7"/>
        <v>245.18100649120043</v>
      </c>
      <c r="O55" s="42">
        <f t="shared" si="8"/>
        <v>6.6004376048697546</v>
      </c>
    </row>
    <row r="56" spans="1:15" x14ac:dyDescent="0.3">
      <c r="A56" s="12">
        <v>240</v>
      </c>
      <c r="B56" s="14">
        <f>'RTD Resistance @ Temperature'!B47</f>
        <v>190.47</v>
      </c>
      <c r="C56" s="10">
        <f t="shared" si="0"/>
        <v>4.9065450366862372E-4</v>
      </c>
      <c r="D56" s="10">
        <f t="shared" si="1"/>
        <v>0.49065450366862373</v>
      </c>
      <c r="E56" s="10">
        <f t="shared" si="2"/>
        <v>93.454963313762761</v>
      </c>
      <c r="F56" s="10">
        <f t="shared" si="3"/>
        <v>1.7484085823642204</v>
      </c>
      <c r="G56" s="10">
        <f t="shared" si="4"/>
        <v>40.13470240608661</v>
      </c>
      <c r="H56" s="133">
        <f t="shared" si="9"/>
        <v>0.17484085823642204</v>
      </c>
      <c r="I56" s="133"/>
      <c r="J56" s="133">
        <f t="shared" si="10"/>
        <v>0.17477859944796492</v>
      </c>
      <c r="K56" s="133"/>
      <c r="L56" s="39">
        <f t="shared" si="5"/>
        <v>231.15852021105351</v>
      </c>
      <c r="M56" s="6">
        <f t="shared" si="6"/>
        <v>-3.6839499120610362</v>
      </c>
      <c r="N56" s="39">
        <f t="shared" si="7"/>
        <v>255.33883304161117</v>
      </c>
      <c r="O56" s="42">
        <f t="shared" si="8"/>
        <v>6.3911804340046539</v>
      </c>
    </row>
    <row r="57" spans="1:15" x14ac:dyDescent="0.3">
      <c r="A57" s="12">
        <v>250</v>
      </c>
      <c r="B57" s="14">
        <f>'RTD Resistance @ Temperature'!B48</f>
        <v>194.1</v>
      </c>
      <c r="C57" s="10">
        <f t="shared" si="0"/>
        <v>4.9047978732796415E-4</v>
      </c>
      <c r="D57" s="10">
        <f t="shared" si="1"/>
        <v>0.49047978732796416</v>
      </c>
      <c r="E57" s="10">
        <f t="shared" si="2"/>
        <v>95.202126720357839</v>
      </c>
      <c r="F57" s="10">
        <f t="shared" si="3"/>
        <v>1.7471634065950781</v>
      </c>
      <c r="G57" s="10">
        <f t="shared" si="4"/>
        <v>41.881865812681689</v>
      </c>
      <c r="H57" s="133">
        <f t="shared" si="9"/>
        <v>0.17471634065950781</v>
      </c>
      <c r="I57" s="133"/>
      <c r="J57" s="133">
        <f t="shared" si="10"/>
        <v>0.17417334904409146</v>
      </c>
      <c r="K57" s="133"/>
      <c r="L57" s="39">
        <f t="shared" si="5"/>
        <v>240.34786241446372</v>
      </c>
      <c r="M57" s="6">
        <f t="shared" si="6"/>
        <v>-3.8608550342145125</v>
      </c>
      <c r="N57" s="39">
        <f t="shared" si="7"/>
        <v>265.4894254251256</v>
      </c>
      <c r="O57" s="42">
        <f t="shared" si="8"/>
        <v>6.195770170050241</v>
      </c>
    </row>
    <row r="58" spans="1:15" x14ac:dyDescent="0.3">
      <c r="A58" s="12">
        <v>260</v>
      </c>
      <c r="B58" s="14">
        <f>'RTD Resistance @ Temperature'!B49</f>
        <v>197.71</v>
      </c>
      <c r="C58" s="10">
        <f t="shared" si="0"/>
        <v>4.9030615697053556E-4</v>
      </c>
      <c r="D58" s="10">
        <f t="shared" si="1"/>
        <v>0.49030615697053553</v>
      </c>
      <c r="E58" s="10">
        <f t="shared" si="2"/>
        <v>96.93843029464459</v>
      </c>
      <c r="F58" s="10">
        <f t="shared" si="3"/>
        <v>1.736303574286751</v>
      </c>
      <c r="G58" s="10">
        <f t="shared" si="4"/>
        <v>43.618169386968439</v>
      </c>
      <c r="H58" s="133">
        <f t="shared" si="9"/>
        <v>0.17363035742867511</v>
      </c>
      <c r="I58" s="133"/>
      <c r="J58" s="133">
        <f t="shared" si="10"/>
        <v>0.1733286836021378</v>
      </c>
      <c r="K58" s="133"/>
      <c r="L58" s="39">
        <f t="shared" si="5"/>
        <v>249.48008648285796</v>
      </c>
      <c r="M58" s="6">
        <f t="shared" si="6"/>
        <v>-4.0461205835161707</v>
      </c>
      <c r="N58" s="39">
        <f t="shared" si="7"/>
        <v>275.57692483708456</v>
      </c>
      <c r="O58" s="42">
        <f t="shared" si="8"/>
        <v>5.9911249373402162</v>
      </c>
    </row>
    <row r="59" spans="1:15" x14ac:dyDescent="0.3">
      <c r="A59" s="12">
        <v>270</v>
      </c>
      <c r="B59" s="14">
        <f>'RTD Resistance @ Temperature'!B50</f>
        <v>201.31</v>
      </c>
      <c r="C59" s="10">
        <f t="shared" si="0"/>
        <v>4.9013312996075995E-4</v>
      </c>
      <c r="D59" s="10">
        <f t="shared" si="1"/>
        <v>0.49013312996075997</v>
      </c>
      <c r="E59" s="10">
        <f t="shared" si="2"/>
        <v>98.668700392400595</v>
      </c>
      <c r="F59" s="10">
        <f t="shared" si="3"/>
        <v>1.730270097756005</v>
      </c>
      <c r="G59" s="10">
        <f t="shared" si="4"/>
        <v>45.348439484724445</v>
      </c>
      <c r="H59" s="133">
        <f t="shared" si="9"/>
        <v>0.17302700977560051</v>
      </c>
      <c r="I59" s="133"/>
      <c r="J59" s="133">
        <f t="shared" si="10"/>
        <v>0.17272590954434436</v>
      </c>
      <c r="K59" s="133"/>
      <c r="L59" s="39">
        <f t="shared" si="5"/>
        <v>258.58057701087012</v>
      </c>
      <c r="M59" s="6">
        <f t="shared" si="6"/>
        <v>-4.2294159218999576</v>
      </c>
      <c r="N59" s="39">
        <f t="shared" si="7"/>
        <v>285.62937122498863</v>
      </c>
      <c r="O59" s="42">
        <f t="shared" si="8"/>
        <v>5.7886560092550488</v>
      </c>
    </row>
    <row r="60" spans="1:15" x14ac:dyDescent="0.3">
      <c r="A60" s="12">
        <v>280</v>
      </c>
      <c r="B60" s="14">
        <f>'RTD Resistance @ Temperature'!B51</f>
        <v>204.9</v>
      </c>
      <c r="C60" s="10">
        <f t="shared" si="0"/>
        <v>4.899607051514469E-4</v>
      </c>
      <c r="D60" s="10">
        <f t="shared" si="1"/>
        <v>0.48996070515144691</v>
      </c>
      <c r="E60" s="10">
        <f t="shared" si="2"/>
        <v>100.39294848553148</v>
      </c>
      <c r="F60" s="10">
        <f t="shared" si="3"/>
        <v>1.7242480931308819</v>
      </c>
      <c r="G60" s="10">
        <f t="shared" si="4"/>
        <v>47.072687577855326</v>
      </c>
      <c r="H60" s="133">
        <f t="shared" si="9"/>
        <v>0.17242480931308818</v>
      </c>
      <c r="I60" s="133"/>
      <c r="J60" s="133">
        <f t="shared" si="10"/>
        <v>0.17212428009941974</v>
      </c>
      <c r="K60" s="133"/>
      <c r="L60" s="39">
        <f t="shared" si="5"/>
        <v>267.64939433588256</v>
      </c>
      <c r="M60" s="6">
        <f t="shared" si="6"/>
        <v>-4.410930594327656</v>
      </c>
      <c r="N60" s="39">
        <f t="shared" si="7"/>
        <v>295.64683123780583</v>
      </c>
      <c r="O60" s="42">
        <f t="shared" si="8"/>
        <v>5.5881540135020815</v>
      </c>
    </row>
    <row r="61" spans="1:15" x14ac:dyDescent="0.3">
      <c r="A61" s="12">
        <v>290</v>
      </c>
      <c r="B61" s="14">
        <f>'RTD Resistance @ Temperature'!B52</f>
        <v>208.48</v>
      </c>
      <c r="C61" s="10">
        <f t="shared" si="0"/>
        <v>4.8978888140056116E-4</v>
      </c>
      <c r="D61" s="10">
        <f t="shared" si="1"/>
        <v>0.48978888140056115</v>
      </c>
      <c r="E61" s="10">
        <f t="shared" si="2"/>
        <v>102.11118599438899</v>
      </c>
      <c r="F61" s="10">
        <f t="shared" si="3"/>
        <v>1.7182375088575128</v>
      </c>
      <c r="G61" s="10">
        <f t="shared" si="4"/>
        <v>48.790925086712839</v>
      </c>
      <c r="H61" s="133">
        <f t="shared" si="9"/>
        <v>0.17182375088575128</v>
      </c>
      <c r="I61" s="133"/>
      <c r="J61" s="133">
        <f t="shared" si="10"/>
        <v>0.17152379012210303</v>
      </c>
      <c r="K61" s="133"/>
      <c r="L61" s="39">
        <f t="shared" si="5"/>
        <v>276.68659852412605</v>
      </c>
      <c r="M61" s="6">
        <f t="shared" si="6"/>
        <v>-4.5908280951289466</v>
      </c>
      <c r="N61" s="39">
        <f t="shared" si="7"/>
        <v>305.62937122498863</v>
      </c>
      <c r="O61" s="42">
        <f t="shared" si="8"/>
        <v>5.3894383534443557</v>
      </c>
    </row>
    <row r="62" spans="1:15" x14ac:dyDescent="0.3">
      <c r="A62" s="12">
        <v>300</v>
      </c>
      <c r="B62" s="14">
        <f>'RTD Resistance @ Temperature'!B53</f>
        <v>212.05</v>
      </c>
      <c r="C62" s="10">
        <f t="shared" si="0"/>
        <v>4.896176575712027E-4</v>
      </c>
      <c r="D62" s="10">
        <f t="shared" si="1"/>
        <v>0.48961765757120268</v>
      </c>
      <c r="E62" s="10">
        <f t="shared" si="2"/>
        <v>103.82342428797354</v>
      </c>
      <c r="F62" s="10">
        <f t="shared" si="3"/>
        <v>1.7122382935845479</v>
      </c>
      <c r="G62" s="10">
        <f t="shared" si="4"/>
        <v>50.503163380297387</v>
      </c>
      <c r="H62" s="133">
        <f t="shared" si="9"/>
        <v>0.17122382935845479</v>
      </c>
      <c r="I62" s="133"/>
      <c r="J62" s="133">
        <f t="shared" si="10"/>
        <v>0.17092443448731842</v>
      </c>
      <c r="K62" s="133"/>
      <c r="L62" s="39">
        <f t="shared" si="5"/>
        <v>285.69224937174488</v>
      </c>
      <c r="M62" s="6">
        <f t="shared" si="6"/>
        <v>-4.7692502094183737</v>
      </c>
      <c r="N62" s="39">
        <f t="shared" si="7"/>
        <v>315.57705723765088</v>
      </c>
      <c r="O62" s="42">
        <f t="shared" si="8"/>
        <v>5.1923524125502922</v>
      </c>
    </row>
    <row r="63" spans="1:15" x14ac:dyDescent="0.3">
      <c r="A63" s="12">
        <v>310</v>
      </c>
      <c r="B63" s="14">
        <f>'RTD Resistance @ Temperature'!B54</f>
        <v>215.61</v>
      </c>
      <c r="C63" s="10">
        <f t="shared" si="0"/>
        <v>4.8944703253158642E-4</v>
      </c>
      <c r="D63" s="10">
        <f t="shared" si="1"/>
        <v>0.48944703253158645</v>
      </c>
      <c r="E63" s="10">
        <f t="shared" si="2"/>
        <v>105.52967468413536</v>
      </c>
      <c r="F63" s="10">
        <f t="shared" si="3"/>
        <v>1.7062503961618205</v>
      </c>
      <c r="G63" s="10">
        <f t="shared" si="4"/>
        <v>52.209413776459208</v>
      </c>
      <c r="H63" s="133">
        <f t="shared" si="9"/>
        <v>0.17062503961618206</v>
      </c>
      <c r="I63" s="133"/>
      <c r="J63" s="133">
        <f t="shared" si="10"/>
        <v>0.17008681586802865</v>
      </c>
      <c r="K63" s="133"/>
      <c r="L63" s="39">
        <f t="shared" si="5"/>
        <v>294.66640640585507</v>
      </c>
      <c r="M63" s="6">
        <f t="shared" si="6"/>
        <v>-4.9463205142402993</v>
      </c>
      <c r="N63" s="39">
        <f t="shared" si="7"/>
        <v>325.48995502973622</v>
      </c>
      <c r="O63" s="42">
        <f t="shared" si="8"/>
        <v>4.9967596870116848</v>
      </c>
    </row>
    <row r="64" spans="1:15" ht="15" thickBot="1" x14ac:dyDescent="0.35">
      <c r="A64" s="3">
        <v>320</v>
      </c>
      <c r="B64" s="15">
        <f>'RTD Resistance @ Temperature'!B55</f>
        <v>219.15</v>
      </c>
      <c r="C64" s="11">
        <f t="shared" si="0"/>
        <v>4.8927748393946661E-4</v>
      </c>
      <c r="D64" s="11">
        <f t="shared" si="1"/>
        <v>0.48927748393946663</v>
      </c>
      <c r="E64" s="11">
        <f t="shared" si="2"/>
        <v>107.22516060533411</v>
      </c>
      <c r="F64" s="11">
        <f>E64-E63</f>
        <v>1.6954859211987525</v>
      </c>
      <c r="G64" s="11">
        <f t="shared" si="4"/>
        <v>53.90489969765796</v>
      </c>
      <c r="H64" s="134">
        <f>F64/(A64-A63)</f>
        <v>0.16954859211987525</v>
      </c>
      <c r="I64" s="134"/>
      <c r="J64" s="134">
        <f>(E64-E63) / (A64-A63)</f>
        <v>0.16954859211987525</v>
      </c>
      <c r="K64" s="134"/>
      <c r="L64" s="43">
        <f t="shared" si="5"/>
        <v>303.58394684434393</v>
      </c>
      <c r="M64" s="7">
        <f t="shared" si="6"/>
        <v>-5.1300166111425227</v>
      </c>
      <c r="N64" s="43">
        <f t="shared" si="7"/>
        <v>335.34031385313659</v>
      </c>
      <c r="O64" s="44">
        <f t="shared" si="8"/>
        <v>4.7938480791051852</v>
      </c>
    </row>
  </sheetData>
  <sheetProtection algorithmName="SHA-512" hashValue="s1uIOKxlnuek9wUh3E3vDa6UrFkvIFg/x6R4WwglvkJbqL/1GZ+9xn9LtZZa7H561BvlHJBjFbj9AUOEA1qynw==" saltValue="2ijrlySYHsmjCnzHM3Mt+g==" spinCount="100000" sheet="1" objects="1" scenarios="1"/>
  <mergeCells count="124">
    <mergeCell ref="B10:B11"/>
    <mergeCell ref="C10:C11"/>
    <mergeCell ref="D10:D11"/>
    <mergeCell ref="A1:K1"/>
    <mergeCell ref="F2:F8"/>
    <mergeCell ref="H5:I5"/>
    <mergeCell ref="H6:I6"/>
    <mergeCell ref="H7:I7"/>
    <mergeCell ref="A10:A11"/>
    <mergeCell ref="J13:K13"/>
    <mergeCell ref="J14:K14"/>
    <mergeCell ref="J15:K15"/>
    <mergeCell ref="J16:K16"/>
    <mergeCell ref="J17:K17"/>
    <mergeCell ref="J18:K18"/>
    <mergeCell ref="E10:E11"/>
    <mergeCell ref="F10:F11"/>
    <mergeCell ref="J10:K11"/>
    <mergeCell ref="J12:K12"/>
    <mergeCell ref="H10:I11"/>
    <mergeCell ref="H12:I12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60:K6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M10:M11"/>
    <mergeCell ref="L10:L11"/>
    <mergeCell ref="O10:O11"/>
    <mergeCell ref="L1:N1"/>
    <mergeCell ref="H61:I61"/>
    <mergeCell ref="H62:I62"/>
    <mergeCell ref="H63:I63"/>
    <mergeCell ref="H64:I64"/>
    <mergeCell ref="G10:G11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04CC-1678-4352-8E0D-726273BA753A}">
  <dimension ref="A1:P64"/>
  <sheetViews>
    <sheetView workbookViewId="0">
      <selection activeCell="O5" sqref="O5"/>
    </sheetView>
  </sheetViews>
  <sheetFormatPr defaultRowHeight="14.4" x14ac:dyDescent="0.3"/>
  <cols>
    <col min="3" max="3" width="10.5546875" customWidth="1"/>
    <col min="4" max="4" width="10.5546875" bestFit="1" customWidth="1"/>
    <col min="5" max="5" width="12.5546875" bestFit="1" customWidth="1"/>
    <col min="6" max="6" width="14.44140625" customWidth="1"/>
    <col min="7" max="7" width="13.6640625" customWidth="1"/>
    <col min="12" max="12" width="18.6640625" customWidth="1"/>
    <col min="13" max="13" width="18.109375" customWidth="1"/>
    <col min="14" max="14" width="18.44140625" customWidth="1"/>
    <col min="15" max="15" width="18.33203125" customWidth="1"/>
  </cols>
  <sheetData>
    <row r="1" spans="1:15" ht="15" thickBot="1" x14ac:dyDescent="0.35">
      <c r="A1" s="114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4" t="s">
        <v>55</v>
      </c>
      <c r="M1" s="115"/>
      <c r="N1" s="116"/>
    </row>
    <row r="2" spans="1:15" ht="16.2" x14ac:dyDescent="0.35">
      <c r="A2" s="23" t="s">
        <v>31</v>
      </c>
      <c r="F2" s="140" t="s">
        <v>16</v>
      </c>
      <c r="G2" s="1" t="s">
        <v>9</v>
      </c>
      <c r="J2">
        <f>0.0005*500</f>
        <v>0.25</v>
      </c>
      <c r="K2" s="24" t="s">
        <v>2</v>
      </c>
      <c r="L2" s="33" t="s">
        <v>56</v>
      </c>
      <c r="M2" s="34">
        <f>E32</f>
        <v>238.09523809523807</v>
      </c>
      <c r="N2" s="35" t="s">
        <v>20</v>
      </c>
    </row>
    <row r="3" spans="1:15" ht="16.2" x14ac:dyDescent="0.35">
      <c r="A3" s="25"/>
      <c r="B3" s="1" t="s">
        <v>32</v>
      </c>
      <c r="F3" s="141"/>
      <c r="G3" s="1" t="s">
        <v>10</v>
      </c>
      <c r="J3">
        <f>$D$4-$J$2</f>
        <v>4.75</v>
      </c>
      <c r="K3" s="24" t="s">
        <v>2</v>
      </c>
      <c r="L3" s="33" t="s">
        <v>27</v>
      </c>
      <c r="M3" s="34">
        <f>$E$34</f>
        <v>255.6943528529882</v>
      </c>
      <c r="N3" s="35" t="s">
        <v>20</v>
      </c>
    </row>
    <row r="4" spans="1:15" ht="16.2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41"/>
      <c r="G4" s="21" t="s">
        <v>11</v>
      </c>
      <c r="K4" s="26"/>
      <c r="L4" s="33" t="s">
        <v>26</v>
      </c>
      <c r="M4" s="34">
        <f>$J$34</f>
        <v>0.87445986091519501</v>
      </c>
      <c r="N4" s="35" t="s">
        <v>23</v>
      </c>
    </row>
    <row r="5" spans="1:15" ht="15.6" x14ac:dyDescent="0.35">
      <c r="A5" s="25"/>
      <c r="C5" t="s">
        <v>7</v>
      </c>
      <c r="D5" s="22">
        <f>'RTD Data'!$F$8</f>
        <v>5000</v>
      </c>
      <c r="E5" s="20" t="s">
        <v>0</v>
      </c>
      <c r="F5" s="141"/>
      <c r="G5" s="1"/>
      <c r="H5" s="143" t="s">
        <v>12</v>
      </c>
      <c r="I5" s="143"/>
      <c r="J5">
        <f>$J$3/2</f>
        <v>2.375</v>
      </c>
      <c r="K5" s="24" t="s">
        <v>2</v>
      </c>
      <c r="L5" s="33" t="s">
        <v>42</v>
      </c>
      <c r="M5" s="36">
        <f>'RTD Data'!S4</f>
        <v>280</v>
      </c>
      <c r="N5" s="37" t="s">
        <v>21</v>
      </c>
    </row>
    <row r="6" spans="1:15" ht="15.6" x14ac:dyDescent="0.35">
      <c r="A6" s="25"/>
      <c r="C6" t="s">
        <v>8</v>
      </c>
      <c r="D6" s="22">
        <f>'RTD Data'!$F$7</f>
        <v>5000</v>
      </c>
      <c r="E6" s="20" t="s">
        <v>0</v>
      </c>
      <c r="F6" s="141"/>
      <c r="H6" s="144" t="s">
        <v>13</v>
      </c>
      <c r="I6" s="144"/>
      <c r="J6" s="22">
        <f>J5/0.0005</f>
        <v>4750</v>
      </c>
      <c r="K6" s="24" t="s">
        <v>0</v>
      </c>
      <c r="L6" s="33" t="s">
        <v>46</v>
      </c>
      <c r="M6" s="34">
        <f>VLOOKUP(M5,'PT500 Tables'!12:64,5)</f>
        <v>464.64692276293709</v>
      </c>
      <c r="N6" s="35" t="s">
        <v>20</v>
      </c>
    </row>
    <row r="7" spans="1:15" ht="16.2" x14ac:dyDescent="0.35">
      <c r="A7" s="23" t="s">
        <v>39</v>
      </c>
      <c r="D7" s="22"/>
      <c r="E7" s="20"/>
      <c r="F7" s="141"/>
      <c r="H7" s="144" t="s">
        <v>14</v>
      </c>
      <c r="I7" s="144"/>
      <c r="J7" s="22">
        <f>J6</f>
        <v>4750</v>
      </c>
      <c r="K7" s="24" t="s">
        <v>0</v>
      </c>
      <c r="L7" s="18" t="s">
        <v>43</v>
      </c>
      <c r="M7" s="34">
        <f>VLOOKUP(M5,12:64,10)</f>
        <v>0.73741927105306782</v>
      </c>
      <c r="N7" s="35" t="s">
        <v>23</v>
      </c>
    </row>
    <row r="8" spans="1:15" ht="16.2" thickBot="1" x14ac:dyDescent="0.4">
      <c r="A8" s="27" t="s">
        <v>34</v>
      </c>
      <c r="B8" s="28"/>
      <c r="C8" s="29"/>
      <c r="D8" s="30"/>
      <c r="E8" s="31"/>
      <c r="F8" s="142"/>
      <c r="G8" s="29"/>
      <c r="H8" s="29"/>
      <c r="I8" s="29"/>
      <c r="J8" s="29"/>
      <c r="K8" s="32"/>
      <c r="L8" s="38"/>
      <c r="M8" s="29"/>
      <c r="N8" s="32"/>
    </row>
    <row r="9" spans="1:15" ht="15" thickBot="1" x14ac:dyDescent="0.35"/>
    <row r="10" spans="1:15" ht="15" customHeight="1" x14ac:dyDescent="0.3">
      <c r="A10" s="112" t="s">
        <v>1</v>
      </c>
      <c r="B10" s="112" t="s">
        <v>28</v>
      </c>
      <c r="C10" s="129" t="s">
        <v>29</v>
      </c>
      <c r="D10" s="129" t="s">
        <v>30</v>
      </c>
      <c r="E10" s="129" t="s">
        <v>24</v>
      </c>
      <c r="F10" s="129" t="s">
        <v>37</v>
      </c>
      <c r="G10" s="129" t="s">
        <v>38</v>
      </c>
      <c r="H10" s="131" t="s">
        <v>33</v>
      </c>
      <c r="I10" s="137"/>
      <c r="J10" s="131" t="s">
        <v>35</v>
      </c>
      <c r="K10" s="137"/>
      <c r="L10" s="131" t="s">
        <v>48</v>
      </c>
      <c r="M10" s="129" t="s">
        <v>40</v>
      </c>
      <c r="N10" s="19"/>
      <c r="O10" s="129" t="s">
        <v>49</v>
      </c>
    </row>
    <row r="11" spans="1:15" ht="16.2" thickBot="1" x14ac:dyDescent="0.4">
      <c r="A11" s="145"/>
      <c r="B11" s="113"/>
      <c r="C11" s="130"/>
      <c r="D11" s="130"/>
      <c r="E11" s="130"/>
      <c r="F11" s="130"/>
      <c r="G11" s="130"/>
      <c r="H11" s="132"/>
      <c r="I11" s="138"/>
      <c r="J11" s="132"/>
      <c r="K11" s="138"/>
      <c r="L11" s="132"/>
      <c r="M11" s="130"/>
      <c r="N11" s="16" t="s">
        <v>41</v>
      </c>
      <c r="O11" s="130"/>
    </row>
    <row r="12" spans="1:15" x14ac:dyDescent="0.3">
      <c r="A12" s="4">
        <v>-200</v>
      </c>
      <c r="B12" s="17">
        <f>'RTD Resistance @ Temperature'!G3</f>
        <v>92.6</v>
      </c>
      <c r="C12" s="9">
        <f>$D$4 / ($D$5 + $D$6 + B12)</f>
        <v>4.9541248043120706E-4</v>
      </c>
      <c r="D12" s="9">
        <f>C12*1000</f>
        <v>0.49541248043120706</v>
      </c>
      <c r="E12" s="9">
        <f>B12*D12</f>
        <v>45.875195687929768</v>
      </c>
      <c r="F12" s="9">
        <f>E13-E12</f>
        <v>10.555646251333542</v>
      </c>
      <c r="G12" s="9">
        <f>E12-$E$34</f>
        <v>-209.81915716505844</v>
      </c>
      <c r="H12" s="139">
        <f>F12/(A13-A12)</f>
        <v>1.0555646251333541</v>
      </c>
      <c r="I12" s="139"/>
      <c r="J12" s="139">
        <f>(E13-E12)/(A13-A12)</f>
        <v>1.0555646251333541</v>
      </c>
      <c r="K12" s="139"/>
      <c r="L12" s="40">
        <f>($E12-$M$2)/$M$4</f>
        <v>-219.81574112062049</v>
      </c>
      <c r="M12" s="8">
        <f>(L12-$A12)/$A12 * 100</f>
        <v>9.9078705603102435</v>
      </c>
      <c r="N12" s="40">
        <f>($E12-$M$2)/$M$7</f>
        <v>-260.66587890062794</v>
      </c>
      <c r="O12" s="41">
        <f>(N12-$A12)/$A12 * 100</f>
        <v>30.332939450313972</v>
      </c>
    </row>
    <row r="13" spans="1:15" x14ac:dyDescent="0.3">
      <c r="A13" s="2">
        <v>-190</v>
      </c>
      <c r="B13" s="14">
        <f>'RTD Resistance @ Temperature'!G4</f>
        <v>114.14999999999999</v>
      </c>
      <c r="C13" s="10">
        <f t="shared" ref="C13:C64" si="0">$D$4 / ($D$5 + $D$6 + B13)</f>
        <v>4.9435691580607371E-4</v>
      </c>
      <c r="D13" s="10">
        <f t="shared" ref="D13:D64" si="1">C13*1000</f>
        <v>0.49435691580607372</v>
      </c>
      <c r="E13" s="10">
        <f t="shared" ref="E13:E64" si="2">B13*D13</f>
        <v>56.43084193926331</v>
      </c>
      <c r="F13" s="10">
        <f t="shared" ref="F13:F63" si="3">E13-E12</f>
        <v>10.555646251333542</v>
      </c>
      <c r="G13" s="10">
        <f t="shared" ref="G13:G64" si="4">E13-$E$34</f>
        <v>-199.2635109137249</v>
      </c>
      <c r="H13" s="133">
        <f>F13/(A13-A12)</f>
        <v>1.0555646251333541</v>
      </c>
      <c r="I13" s="133"/>
      <c r="J13" s="133">
        <f>(E14-E12)/(A14-A12)</f>
        <v>1.0484532292683528</v>
      </c>
      <c r="K13" s="133"/>
      <c r="L13" s="39">
        <f t="shared" ref="L13:L64" si="5">($E13-$M$2)/$M$4</f>
        <v>-207.74469392551404</v>
      </c>
      <c r="M13" s="6">
        <f t="shared" ref="M13:M64" si="6">(L13-$A13)/$A13 * 100</f>
        <v>9.339312592375812</v>
      </c>
      <c r="N13" s="39">
        <f t="shared" ref="N13:N64" si="7">($E13-$M$2)/$M$7</f>
        <v>-246.35157133410667</v>
      </c>
      <c r="O13" s="42">
        <f t="shared" ref="O13:O64" si="8">(N13-$A13)/$A13 * 100</f>
        <v>29.658721754792982</v>
      </c>
    </row>
    <row r="14" spans="1:15" x14ac:dyDescent="0.3">
      <c r="A14" s="2">
        <v>-180</v>
      </c>
      <c r="B14" s="14">
        <f>'RTD Resistance @ Temperature'!G5</f>
        <v>135.5</v>
      </c>
      <c r="C14" s="10">
        <f t="shared" si="0"/>
        <v>4.9331557397267031E-4</v>
      </c>
      <c r="D14" s="10">
        <f t="shared" si="1"/>
        <v>0.49331557397267028</v>
      </c>
      <c r="E14" s="10">
        <f t="shared" si="2"/>
        <v>66.844260273296825</v>
      </c>
      <c r="F14" s="10">
        <f t="shared" si="3"/>
        <v>10.413418334033516</v>
      </c>
      <c r="G14" s="10">
        <f t="shared" si="4"/>
        <v>-188.85009257969136</v>
      </c>
      <c r="H14" s="133">
        <f t="shared" ref="H14:H63" si="9">F14/(A14-A13)</f>
        <v>1.0413418334033515</v>
      </c>
      <c r="I14" s="133"/>
      <c r="J14" s="133">
        <f t="shared" ref="J14:J63" si="10">(E15-E13)/(A15-A13)</f>
        <v>1.0355177748455904</v>
      </c>
      <c r="K14" s="133"/>
      <c r="L14" s="39">
        <f t="shared" si="5"/>
        <v>-195.83629332364421</v>
      </c>
      <c r="M14" s="6">
        <f t="shared" si="6"/>
        <v>8.797940735357896</v>
      </c>
      <c r="N14" s="39">
        <f t="shared" si="7"/>
        <v>-232.23013629327477</v>
      </c>
      <c r="O14" s="42">
        <f t="shared" si="8"/>
        <v>29.01674238515265</v>
      </c>
    </row>
    <row r="15" spans="1:15" x14ac:dyDescent="0.3">
      <c r="A15" s="2">
        <v>-170</v>
      </c>
      <c r="B15" s="14">
        <f>'RTD Resistance @ Temperature'!G6</f>
        <v>156.69999999999999</v>
      </c>
      <c r="C15" s="10">
        <f t="shared" si="0"/>
        <v>4.922858802563824E-4</v>
      </c>
      <c r="D15" s="10">
        <f t="shared" si="1"/>
        <v>0.49228588025638242</v>
      </c>
      <c r="E15" s="10">
        <f t="shared" si="2"/>
        <v>77.141197436175119</v>
      </c>
      <c r="F15" s="10">
        <f t="shared" si="3"/>
        <v>10.296937162878294</v>
      </c>
      <c r="G15" s="10">
        <f t="shared" si="4"/>
        <v>-178.55315541681307</v>
      </c>
      <c r="H15" s="133">
        <f t="shared" si="9"/>
        <v>1.0296937162878295</v>
      </c>
      <c r="I15" s="133"/>
      <c r="J15" s="133">
        <f t="shared" si="10"/>
        <v>1.0227220895510123</v>
      </c>
      <c r="K15" s="133"/>
      <c r="L15" s="39">
        <f t="shared" si="5"/>
        <v>-184.06109628703962</v>
      </c>
      <c r="M15" s="6">
        <f t="shared" si="6"/>
        <v>8.2712331100233047</v>
      </c>
      <c r="N15" s="39">
        <f t="shared" si="7"/>
        <v>-218.26665911403884</v>
      </c>
      <c r="O15" s="42">
        <f t="shared" si="8"/>
        <v>28.39215242002285</v>
      </c>
    </row>
    <row r="16" spans="1:15" x14ac:dyDescent="0.3">
      <c r="A16" s="2">
        <v>-160</v>
      </c>
      <c r="B16" s="14">
        <f>'RTD Resistance @ Temperature'!G7</f>
        <v>177.7</v>
      </c>
      <c r="C16" s="10">
        <f t="shared" si="0"/>
        <v>4.9127012979356829E-4</v>
      </c>
      <c r="D16" s="10">
        <f t="shared" si="1"/>
        <v>0.49127012979356827</v>
      </c>
      <c r="E16" s="10">
        <f t="shared" si="2"/>
        <v>87.298702064317069</v>
      </c>
      <c r="F16" s="10">
        <f t="shared" si="3"/>
        <v>10.15750462814195</v>
      </c>
      <c r="G16" s="10">
        <f t="shared" si="4"/>
        <v>-168.39565078867113</v>
      </c>
      <c r="H16" s="133">
        <f t="shared" si="9"/>
        <v>1.0157504628141951</v>
      </c>
      <c r="I16" s="133"/>
      <c r="J16" s="133">
        <f t="shared" si="10"/>
        <v>1.0112553871483556</v>
      </c>
      <c r="K16" s="133"/>
      <c r="L16" s="39">
        <f t="shared" si="5"/>
        <v>-172.44534914741527</v>
      </c>
      <c r="M16" s="6">
        <f t="shared" si="6"/>
        <v>7.7783432171345455</v>
      </c>
      <c r="N16" s="39">
        <f t="shared" si="7"/>
        <v>-204.49226369630506</v>
      </c>
      <c r="O16" s="42">
        <f t="shared" si="8"/>
        <v>27.807664810190662</v>
      </c>
    </row>
    <row r="17" spans="1:16" x14ac:dyDescent="0.3">
      <c r="A17" s="2">
        <v>-150</v>
      </c>
      <c r="B17" s="14">
        <f>'RTD Resistance @ Temperature'!G8</f>
        <v>198.6</v>
      </c>
      <c r="C17" s="10">
        <f t="shared" si="0"/>
        <v>4.9026336948208577E-4</v>
      </c>
      <c r="D17" s="10">
        <f t="shared" si="1"/>
        <v>0.49026336948208576</v>
      </c>
      <c r="E17" s="10">
        <f t="shared" si="2"/>
        <v>97.36630517914223</v>
      </c>
      <c r="F17" s="10">
        <f t="shared" si="3"/>
        <v>10.067603114825161</v>
      </c>
      <c r="G17" s="10">
        <f t="shared" si="4"/>
        <v>-158.32804767384596</v>
      </c>
      <c r="H17" s="133">
        <f t="shared" si="9"/>
        <v>1.0067603114825161</v>
      </c>
      <c r="I17" s="133"/>
      <c r="J17" s="133">
        <f t="shared" si="10"/>
        <v>1.002307592050014</v>
      </c>
      <c r="K17" s="133"/>
      <c r="L17" s="39">
        <f t="shared" si="5"/>
        <v>-160.93241005803435</v>
      </c>
      <c r="M17" s="6">
        <f t="shared" si="6"/>
        <v>7.2882733720228989</v>
      </c>
      <c r="N17" s="39">
        <f t="shared" si="7"/>
        <v>-190.83978198064804</v>
      </c>
      <c r="O17" s="42">
        <f t="shared" si="8"/>
        <v>27.226521320432028</v>
      </c>
    </row>
    <row r="18" spans="1:16" x14ac:dyDescent="0.3">
      <c r="A18" s="2">
        <v>-140</v>
      </c>
      <c r="B18" s="14">
        <f>'RTD Resistance @ Temperature'!G9</f>
        <v>219.4</v>
      </c>
      <c r="C18" s="10">
        <f t="shared" si="0"/>
        <v>4.8926551460946833E-4</v>
      </c>
      <c r="D18" s="10">
        <f t="shared" si="1"/>
        <v>0.48926551460946832</v>
      </c>
      <c r="E18" s="10">
        <f t="shared" si="2"/>
        <v>107.34485390531735</v>
      </c>
      <c r="F18" s="10">
        <f t="shared" si="3"/>
        <v>9.97854872617512</v>
      </c>
      <c r="G18" s="10">
        <f t="shared" si="4"/>
        <v>-148.34949894767084</v>
      </c>
      <c r="H18" s="133">
        <f t="shared" si="9"/>
        <v>0.99785487261751205</v>
      </c>
      <c r="I18" s="133"/>
      <c r="J18" s="133">
        <f t="shared" si="10"/>
        <v>0.99105974104288852</v>
      </c>
      <c r="K18" s="133"/>
      <c r="L18" s="39">
        <f t="shared" si="5"/>
        <v>-149.52131027841529</v>
      </c>
      <c r="M18" s="6">
        <f t="shared" si="6"/>
        <v>6.8009359131537757</v>
      </c>
      <c r="N18" s="39">
        <f t="shared" si="7"/>
        <v>-177.30806519770405</v>
      </c>
      <c r="O18" s="42">
        <f t="shared" si="8"/>
        <v>26.648617998360034</v>
      </c>
    </row>
    <row r="19" spans="1:16" x14ac:dyDescent="0.3">
      <c r="A19" s="2">
        <v>-130</v>
      </c>
      <c r="B19" s="14">
        <f>'RTD Resistance @ Temperature'!G10</f>
        <v>240</v>
      </c>
      <c r="C19" s="10">
        <f t="shared" si="0"/>
        <v>4.8828125E-4</v>
      </c>
      <c r="D19" s="10">
        <f t="shared" si="1"/>
        <v>0.48828125</v>
      </c>
      <c r="E19" s="10">
        <f t="shared" si="2"/>
        <v>117.1875</v>
      </c>
      <c r="F19" s="10">
        <f t="shared" si="3"/>
        <v>9.8426460946826495</v>
      </c>
      <c r="G19" s="10">
        <f t="shared" si="4"/>
        <v>-138.5068528529882</v>
      </c>
      <c r="H19" s="133">
        <f t="shared" si="9"/>
        <v>0.98426460946826499</v>
      </c>
      <c r="I19" s="133"/>
      <c r="J19" s="133">
        <f t="shared" si="10"/>
        <v>0.98110120442761894</v>
      </c>
      <c r="K19" s="133"/>
      <c r="L19" s="39">
        <f t="shared" si="5"/>
        <v>-138.2656237287988</v>
      </c>
      <c r="M19" s="6">
        <f t="shared" si="6"/>
        <v>6.3581720990760013</v>
      </c>
      <c r="N19" s="39">
        <f t="shared" si="7"/>
        <v>-163.96064334279791</v>
      </c>
      <c r="O19" s="42">
        <f t="shared" si="8"/>
        <v>26.123571802152235</v>
      </c>
    </row>
    <row r="20" spans="1:16" x14ac:dyDescent="0.3">
      <c r="A20" s="2">
        <v>-120</v>
      </c>
      <c r="B20" s="14">
        <f>'RTD Resistance @ Temperature'!G11</f>
        <v>260.55</v>
      </c>
      <c r="C20" s="10">
        <f t="shared" si="0"/>
        <v>4.8730331220061304E-4</v>
      </c>
      <c r="D20" s="10">
        <f t="shared" si="1"/>
        <v>0.48730331220061301</v>
      </c>
      <c r="E20" s="10">
        <f t="shared" si="2"/>
        <v>126.96687799386973</v>
      </c>
      <c r="F20" s="10">
        <f t="shared" si="3"/>
        <v>9.7793779938697298</v>
      </c>
      <c r="G20" s="10">
        <f t="shared" si="4"/>
        <v>-128.72747485911847</v>
      </c>
      <c r="H20" s="133">
        <f t="shared" si="9"/>
        <v>0.97793779938697301</v>
      </c>
      <c r="I20" s="133"/>
      <c r="J20" s="133">
        <f t="shared" si="10"/>
        <v>0.97243528990511552</v>
      </c>
      <c r="K20" s="133"/>
      <c r="L20" s="39">
        <f t="shared" si="5"/>
        <v>-127.08228824255383</v>
      </c>
      <c r="M20" s="6">
        <f t="shared" si="6"/>
        <v>5.9019068687948577</v>
      </c>
      <c r="N20" s="39">
        <f t="shared" si="7"/>
        <v>-150.69901813478791</v>
      </c>
      <c r="O20" s="42">
        <f t="shared" si="8"/>
        <v>25.582515112323257</v>
      </c>
    </row>
    <row r="21" spans="1:16" x14ac:dyDescent="0.3">
      <c r="A21" s="2">
        <v>-110</v>
      </c>
      <c r="B21" s="14">
        <f>'RTD Resistance @ Temperature'!G12</f>
        <v>280.95</v>
      </c>
      <c r="C21" s="10">
        <f t="shared" si="0"/>
        <v>4.8633637942018974E-4</v>
      </c>
      <c r="D21" s="10">
        <f t="shared" si="1"/>
        <v>0.48633637942018976</v>
      </c>
      <c r="E21" s="10">
        <f t="shared" si="2"/>
        <v>136.63620579810231</v>
      </c>
      <c r="F21" s="10">
        <f t="shared" si="3"/>
        <v>9.6693278042325801</v>
      </c>
      <c r="G21" s="10">
        <f t="shared" si="4"/>
        <v>-119.05814705488589</v>
      </c>
      <c r="H21" s="133">
        <f t="shared" si="9"/>
        <v>0.96693278042325803</v>
      </c>
      <c r="I21" s="133"/>
      <c r="J21" s="133">
        <f t="shared" si="10"/>
        <v>0.96383999942604248</v>
      </c>
      <c r="K21" s="133"/>
      <c r="L21" s="39">
        <f t="shared" si="5"/>
        <v>-116.02480208862926</v>
      </c>
      <c r="M21" s="6">
        <f t="shared" si="6"/>
        <v>5.4770928078447803</v>
      </c>
      <c r="N21" s="39">
        <f t="shared" si="7"/>
        <v>-137.5866298588152</v>
      </c>
      <c r="O21" s="42">
        <f t="shared" si="8"/>
        <v>25.078754417104726</v>
      </c>
    </row>
    <row r="22" spans="1:16" x14ac:dyDescent="0.3">
      <c r="A22" s="2">
        <v>-100</v>
      </c>
      <c r="B22" s="14">
        <f>'RTD Resistance @ Temperature'!G13</f>
        <v>301.3</v>
      </c>
      <c r="C22" s="10">
        <f t="shared" si="0"/>
        <v>4.8537563220176096E-4</v>
      </c>
      <c r="D22" s="10">
        <f t="shared" si="1"/>
        <v>0.48537563220176094</v>
      </c>
      <c r="E22" s="10">
        <f t="shared" si="2"/>
        <v>146.24367798239058</v>
      </c>
      <c r="F22" s="10">
        <f t="shared" si="3"/>
        <v>9.6074721842882695</v>
      </c>
      <c r="G22" s="10">
        <f t="shared" si="4"/>
        <v>-109.45067487059762</v>
      </c>
      <c r="H22" s="133">
        <f t="shared" si="9"/>
        <v>0.96074721842882693</v>
      </c>
      <c r="I22" s="133"/>
      <c r="J22" s="133">
        <f t="shared" si="10"/>
        <v>0.95533305166345461</v>
      </c>
      <c r="K22" s="133"/>
      <c r="L22" s="39">
        <f t="shared" si="5"/>
        <v>-105.03805173712284</v>
      </c>
      <c r="M22" s="6">
        <f t="shared" si="6"/>
        <v>5.0380517371228422</v>
      </c>
      <c r="N22" s="39">
        <f t="shared" si="7"/>
        <v>-124.55812279177265</v>
      </c>
      <c r="O22" s="42">
        <f t="shared" si="8"/>
        <v>24.558122791772647</v>
      </c>
    </row>
    <row r="23" spans="1:16" x14ac:dyDescent="0.3">
      <c r="A23" s="2">
        <v>-90</v>
      </c>
      <c r="B23" s="14">
        <f>'RTD Resistance @ Temperature'!G14</f>
        <v>321.5</v>
      </c>
      <c r="C23" s="10">
        <f t="shared" si="0"/>
        <v>4.8442571331686285E-4</v>
      </c>
      <c r="D23" s="10">
        <f t="shared" si="1"/>
        <v>0.48442571331686285</v>
      </c>
      <c r="E23" s="10">
        <f t="shared" si="2"/>
        <v>155.7428668313714</v>
      </c>
      <c r="F23" s="10">
        <f t="shared" si="3"/>
        <v>9.4991888489808218</v>
      </c>
      <c r="G23" s="10">
        <f t="shared" si="4"/>
        <v>-99.951486021616802</v>
      </c>
      <c r="H23" s="133">
        <f t="shared" si="9"/>
        <v>0.94991888489808218</v>
      </c>
      <c r="I23" s="133"/>
      <c r="J23" s="133">
        <f t="shared" si="10"/>
        <v>0.9468946811843878</v>
      </c>
      <c r="K23" s="133"/>
      <c r="L23" s="39">
        <f t="shared" si="5"/>
        <v>-94.175130208581635</v>
      </c>
      <c r="M23" s="6">
        <f t="shared" si="6"/>
        <v>4.6390335650907053</v>
      </c>
      <c r="N23" s="39">
        <f t="shared" si="7"/>
        <v>-111.67645665981009</v>
      </c>
      <c r="O23" s="42">
        <f t="shared" si="8"/>
        <v>24.08495184423343</v>
      </c>
    </row>
    <row r="24" spans="1:16" x14ac:dyDescent="0.3">
      <c r="A24" s="2">
        <v>-80</v>
      </c>
      <c r="B24" s="14">
        <f>'RTD Resistance @ Temperature'!G15</f>
        <v>341.65</v>
      </c>
      <c r="C24" s="10">
        <f t="shared" si="0"/>
        <v>4.8348184283939221E-4</v>
      </c>
      <c r="D24" s="10">
        <f t="shared" si="1"/>
        <v>0.48348184283939222</v>
      </c>
      <c r="E24" s="10">
        <f t="shared" si="2"/>
        <v>165.18157160607834</v>
      </c>
      <c r="F24" s="10">
        <f t="shared" si="3"/>
        <v>9.4387047747069346</v>
      </c>
      <c r="G24" s="10">
        <f t="shared" si="4"/>
        <v>-90.512781246909867</v>
      </c>
      <c r="H24" s="133">
        <f t="shared" si="9"/>
        <v>0.94387047747069341</v>
      </c>
      <c r="I24" s="133"/>
      <c r="J24" s="133">
        <f t="shared" si="10"/>
        <v>0.93854223939585069</v>
      </c>
      <c r="K24" s="133"/>
      <c r="L24" s="39">
        <f t="shared" si="5"/>
        <v>-83.381376033485992</v>
      </c>
      <c r="M24" s="6">
        <f t="shared" si="6"/>
        <v>4.2267200418574902</v>
      </c>
      <c r="N24" s="39">
        <f t="shared" si="7"/>
        <v>-98.87681181024162</v>
      </c>
      <c r="O24" s="42">
        <f t="shared" si="8"/>
        <v>23.596014762802024</v>
      </c>
    </row>
    <row r="25" spans="1:16" x14ac:dyDescent="0.3">
      <c r="A25" s="2">
        <v>-70</v>
      </c>
      <c r="B25" s="14">
        <f>'RTD Resistance @ Temperature'!G16</f>
        <v>361.65</v>
      </c>
      <c r="C25" s="10">
        <f t="shared" si="0"/>
        <v>4.8254862883807115E-4</v>
      </c>
      <c r="D25" s="10">
        <f t="shared" si="1"/>
        <v>0.48254862883807115</v>
      </c>
      <c r="E25" s="10">
        <f t="shared" si="2"/>
        <v>174.51371161928842</v>
      </c>
      <c r="F25" s="10">
        <f t="shared" si="3"/>
        <v>9.3321400132100791</v>
      </c>
      <c r="G25" s="10">
        <f t="shared" si="4"/>
        <v>-81.180641233699788</v>
      </c>
      <c r="H25" s="133">
        <f t="shared" si="9"/>
        <v>0.93321400132100796</v>
      </c>
      <c r="I25" s="133"/>
      <c r="J25" s="133">
        <f t="shared" si="10"/>
        <v>0.9314161869055354</v>
      </c>
      <c r="K25" s="133"/>
      <c r="L25" s="39">
        <f t="shared" si="5"/>
        <v>-72.709485383818873</v>
      </c>
      <c r="M25" s="6">
        <f t="shared" si="6"/>
        <v>3.8706934054555324</v>
      </c>
      <c r="N25" s="39">
        <f t="shared" si="7"/>
        <v>-86.221677371073284</v>
      </c>
      <c r="O25" s="42">
        <f t="shared" si="8"/>
        <v>23.173824815818978</v>
      </c>
    </row>
    <row r="26" spans="1:16" x14ac:dyDescent="0.3">
      <c r="A26" s="2">
        <v>-60</v>
      </c>
      <c r="B26" s="14">
        <f>'RTD Resistance @ Temperature'!G17</f>
        <v>381.65</v>
      </c>
      <c r="C26" s="10">
        <f t="shared" si="0"/>
        <v>4.8161901046558112E-4</v>
      </c>
      <c r="D26" s="10">
        <f t="shared" si="1"/>
        <v>0.48161901046558114</v>
      </c>
      <c r="E26" s="10">
        <f t="shared" si="2"/>
        <v>183.80989534418904</v>
      </c>
      <c r="F26" s="10">
        <f t="shared" si="3"/>
        <v>9.2961837249006294</v>
      </c>
      <c r="G26" s="10">
        <f t="shared" si="4"/>
        <v>-71.884457508799159</v>
      </c>
      <c r="H26" s="133">
        <f t="shared" si="9"/>
        <v>0.92961837249006296</v>
      </c>
      <c r="I26" s="133"/>
      <c r="J26" s="133">
        <f t="shared" si="10"/>
        <v>0.92552024893593199</v>
      </c>
      <c r="K26" s="133"/>
      <c r="L26" s="39">
        <f t="shared" si="5"/>
        <v>-62.078713017467607</v>
      </c>
      <c r="M26" s="6">
        <f t="shared" si="6"/>
        <v>3.4645216957793443</v>
      </c>
      <c r="N26" s="39">
        <f t="shared" si="7"/>
        <v>-73.615302558512099</v>
      </c>
      <c r="O26" s="42">
        <f t="shared" si="8"/>
        <v>22.692170930853496</v>
      </c>
    </row>
    <row r="27" spans="1:16" x14ac:dyDescent="0.3">
      <c r="A27" s="2">
        <v>-50</v>
      </c>
      <c r="B27" s="14">
        <f>'RTD Resistance @ Temperature'!G18</f>
        <v>401.55</v>
      </c>
      <c r="C27" s="10">
        <f t="shared" si="0"/>
        <v>4.8069758834019935E-4</v>
      </c>
      <c r="D27" s="10">
        <f t="shared" si="1"/>
        <v>0.48069758834019932</v>
      </c>
      <c r="E27" s="10">
        <f t="shared" si="2"/>
        <v>193.02411659800705</v>
      </c>
      <c r="F27" s="10">
        <f t="shared" si="3"/>
        <v>9.2142212538180104</v>
      </c>
      <c r="G27" s="10">
        <f t="shared" si="4"/>
        <v>-62.670236254981148</v>
      </c>
      <c r="H27" s="133">
        <f t="shared" si="9"/>
        <v>0.92142212538180102</v>
      </c>
      <c r="I27" s="133"/>
      <c r="J27" s="133">
        <f t="shared" si="10"/>
        <v>0.91736074095407649</v>
      </c>
      <c r="K27" s="133"/>
      <c r="L27" s="39">
        <f t="shared" si="5"/>
        <v>-51.541669905878059</v>
      </c>
      <c r="M27" s="6">
        <f t="shared" si="6"/>
        <v>3.0833398117561188</v>
      </c>
      <c r="N27" s="39">
        <f t="shared" si="7"/>
        <v>-61.120075466521826</v>
      </c>
      <c r="O27" s="42">
        <f t="shared" si="8"/>
        <v>22.240150933043651</v>
      </c>
    </row>
    <row r="28" spans="1:16" x14ac:dyDescent="0.3">
      <c r="A28" s="2">
        <v>-40</v>
      </c>
      <c r="B28" s="14">
        <f>'RTD Resistance @ Temperature'!G19</f>
        <v>421.34999999999997</v>
      </c>
      <c r="C28" s="10">
        <f t="shared" si="0"/>
        <v>4.797842889836729E-4</v>
      </c>
      <c r="D28" s="10">
        <f t="shared" si="1"/>
        <v>0.47978428898367292</v>
      </c>
      <c r="E28" s="10">
        <f t="shared" si="2"/>
        <v>202.15711016327057</v>
      </c>
      <c r="F28" s="10">
        <f t="shared" si="3"/>
        <v>9.1329935652635186</v>
      </c>
      <c r="G28" s="10">
        <f t="shared" si="4"/>
        <v>-53.53724268971763</v>
      </c>
      <c r="H28" s="133">
        <f t="shared" si="9"/>
        <v>0.91329935652635186</v>
      </c>
      <c r="I28" s="133"/>
      <c r="J28" s="133">
        <f t="shared" si="10"/>
        <v>0.91042081863284774</v>
      </c>
      <c r="K28" s="133"/>
      <c r="L28" s="39">
        <f t="shared" si="5"/>
        <v>-41.097515778889218</v>
      </c>
      <c r="M28" s="6">
        <f t="shared" si="6"/>
        <v>2.743789447223044</v>
      </c>
      <c r="N28" s="39">
        <f t="shared" si="7"/>
        <v>-48.734999670738524</v>
      </c>
      <c r="O28" s="42">
        <f t="shared" si="8"/>
        <v>21.837499176846311</v>
      </c>
    </row>
    <row r="29" spans="1:16" x14ac:dyDescent="0.3">
      <c r="A29" s="2">
        <v>-30</v>
      </c>
      <c r="B29" s="14">
        <f>'RTD Resistance @ Temperature'!G20</f>
        <v>441.1</v>
      </c>
      <c r="C29" s="10">
        <f t="shared" si="0"/>
        <v>4.7887674670293358E-4</v>
      </c>
      <c r="D29" s="10">
        <f t="shared" si="1"/>
        <v>0.47887674670293356</v>
      </c>
      <c r="E29" s="10">
        <f t="shared" si="2"/>
        <v>211.23253297066401</v>
      </c>
      <c r="F29" s="10">
        <f t="shared" si="3"/>
        <v>9.0754228073934371</v>
      </c>
      <c r="G29" s="10">
        <f t="shared" si="4"/>
        <v>-44.461819882324193</v>
      </c>
      <c r="H29" s="133">
        <f t="shared" si="9"/>
        <v>0.90754228073934373</v>
      </c>
      <c r="I29" s="133"/>
      <c r="J29" s="133">
        <f t="shared" si="10"/>
        <v>0.90468655362906814</v>
      </c>
      <c r="K29" s="133"/>
      <c r="L29" s="39">
        <f t="shared" si="5"/>
        <v>-30.719197444305799</v>
      </c>
      <c r="M29" s="6">
        <f t="shared" si="6"/>
        <v>2.3973248143526624</v>
      </c>
      <c r="N29" s="39">
        <f t="shared" si="7"/>
        <v>-36.427994465364208</v>
      </c>
      <c r="O29" s="42">
        <f t="shared" si="8"/>
        <v>21.426648217880693</v>
      </c>
    </row>
    <row r="30" spans="1:16" x14ac:dyDescent="0.3">
      <c r="A30" s="2">
        <v>-20</v>
      </c>
      <c r="B30" s="14">
        <f>'RTD Resistance @ Temperature'!G21</f>
        <v>460.79999999999995</v>
      </c>
      <c r="C30" s="10">
        <f t="shared" si="0"/>
        <v>4.7797491587641484E-4</v>
      </c>
      <c r="D30" s="10">
        <f t="shared" si="1"/>
        <v>0.47797491587641483</v>
      </c>
      <c r="E30" s="10">
        <f t="shared" si="2"/>
        <v>220.25084123585194</v>
      </c>
      <c r="F30" s="10">
        <f t="shared" si="3"/>
        <v>9.0183082651879261</v>
      </c>
      <c r="G30" s="10">
        <f t="shared" si="4"/>
        <v>-35.443511617136267</v>
      </c>
      <c r="H30" s="133">
        <f t="shared" si="9"/>
        <v>0.90183082651879265</v>
      </c>
      <c r="I30" s="133"/>
      <c r="J30" s="133">
        <f t="shared" si="10"/>
        <v>0.89899765672086862</v>
      </c>
      <c r="K30" s="133"/>
      <c r="L30" s="39">
        <f t="shared" si="5"/>
        <v>-20.406193190743473</v>
      </c>
      <c r="M30" s="6">
        <f t="shared" si="6"/>
        <v>2.030965953717363</v>
      </c>
      <c r="N30" s="39">
        <f t="shared" si="7"/>
        <v>-24.198441185166665</v>
      </c>
      <c r="O30" s="42">
        <f t="shared" si="8"/>
        <v>20.992205925833325</v>
      </c>
    </row>
    <row r="31" spans="1:16" x14ac:dyDescent="0.3">
      <c r="A31" s="2">
        <v>-10</v>
      </c>
      <c r="B31" s="14">
        <f>'RTD Resistance @ Temperature'!G22</f>
        <v>480.45000000000005</v>
      </c>
      <c r="C31" s="10">
        <f t="shared" si="0"/>
        <v>4.7707875138949183E-4</v>
      </c>
      <c r="D31" s="10">
        <f t="shared" si="1"/>
        <v>0.47707875138949185</v>
      </c>
      <c r="E31" s="10">
        <f t="shared" si="2"/>
        <v>229.21248610508138</v>
      </c>
      <c r="F31" s="10">
        <f t="shared" si="3"/>
        <v>8.9616448692294455</v>
      </c>
      <c r="G31" s="10">
        <f t="shared" si="4"/>
        <v>-26.481866747906821</v>
      </c>
      <c r="H31" s="133">
        <f t="shared" si="9"/>
        <v>0.89616448692294459</v>
      </c>
      <c r="I31" s="133"/>
      <c r="J31" s="133">
        <f t="shared" si="10"/>
        <v>0.8922198429693069</v>
      </c>
      <c r="K31" s="133"/>
      <c r="L31" s="39">
        <f t="shared" si="5"/>
        <v>-10.157987104016589</v>
      </c>
      <c r="M31" s="6">
        <f t="shared" si="6"/>
        <v>1.5798710401658942</v>
      </c>
      <c r="N31" s="39">
        <f t="shared" si="7"/>
        <v>-12.045728039452676</v>
      </c>
      <c r="O31" s="42">
        <f t="shared" si="8"/>
        <v>20.457280394526762</v>
      </c>
    </row>
    <row r="32" spans="1:16" x14ac:dyDescent="0.3">
      <c r="A32" s="12">
        <v>0</v>
      </c>
      <c r="B32" s="51">
        <f>'RTD Resistance @ Temperature'!G23</f>
        <v>500</v>
      </c>
      <c r="C32" s="52">
        <f t="shared" si="0"/>
        <v>4.7619047619047619E-4</v>
      </c>
      <c r="D32" s="52">
        <f t="shared" si="1"/>
        <v>0.47619047619047616</v>
      </c>
      <c r="E32" s="52">
        <f t="shared" si="2"/>
        <v>238.09523809523807</v>
      </c>
      <c r="F32" s="52">
        <f t="shared" si="3"/>
        <v>8.8827519901566916</v>
      </c>
      <c r="G32" s="52">
        <f t="shared" si="4"/>
        <v>-17.599114757750129</v>
      </c>
      <c r="H32" s="135">
        <f t="shared" si="9"/>
        <v>0.8882751990156692</v>
      </c>
      <c r="I32" s="135"/>
      <c r="J32" s="135">
        <f t="shared" si="10"/>
        <v>0.88549480687103144</v>
      </c>
      <c r="K32" s="135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67</v>
      </c>
    </row>
    <row r="33" spans="1:16" x14ac:dyDescent="0.3">
      <c r="A33" s="12">
        <v>10</v>
      </c>
      <c r="B33" s="14">
        <f>'RTD Resistance @ Temperature'!G24</f>
        <v>519.5</v>
      </c>
      <c r="C33" s="10">
        <f t="shared" si="0"/>
        <v>4.753077617757498E-4</v>
      </c>
      <c r="D33" s="10">
        <f t="shared" si="1"/>
        <v>0.47530776177574979</v>
      </c>
      <c r="E33" s="10">
        <f t="shared" si="2"/>
        <v>246.92238224250201</v>
      </c>
      <c r="F33" s="10">
        <f t="shared" si="3"/>
        <v>8.8271441472639367</v>
      </c>
      <c r="G33" s="10">
        <f t="shared" si="4"/>
        <v>-8.7719706104861928</v>
      </c>
      <c r="H33" s="133">
        <f t="shared" si="9"/>
        <v>0.88271441472639367</v>
      </c>
      <c r="I33" s="133"/>
      <c r="J33" s="133">
        <f t="shared" si="10"/>
        <v>0.87995573788750647</v>
      </c>
      <c r="K33" s="133"/>
      <c r="L33" s="39">
        <f t="shared" si="5"/>
        <v>10.094396028681746</v>
      </c>
      <c r="M33" s="6">
        <f t="shared" si="6"/>
        <v>0.94396028681746447</v>
      </c>
      <c r="N33" s="39">
        <f t="shared" si="7"/>
        <v>11.970319320050287</v>
      </c>
      <c r="O33" s="42">
        <f t="shared" si="8"/>
        <v>19.703193200502866</v>
      </c>
    </row>
    <row r="34" spans="1:16" x14ac:dyDescent="0.3">
      <c r="A34" s="12">
        <v>20</v>
      </c>
      <c r="B34" s="46">
        <f>'RTD Resistance @ Temperature'!G25</f>
        <v>538.95000000000005</v>
      </c>
      <c r="C34" s="47">
        <f>$D$4 / ($D$5 + $D$6 + B34)</f>
        <v>4.7443056471470113E-4</v>
      </c>
      <c r="D34" s="47">
        <f t="shared" si="1"/>
        <v>0.47443056471470113</v>
      </c>
      <c r="E34" s="47">
        <f t="shared" si="2"/>
        <v>255.6943528529882</v>
      </c>
      <c r="F34" s="47">
        <f>E34-E33</f>
        <v>8.7719706104861928</v>
      </c>
      <c r="G34" s="47">
        <f t="shared" si="4"/>
        <v>0</v>
      </c>
      <c r="H34" s="136">
        <f t="shared" si="9"/>
        <v>0.87719706104861928</v>
      </c>
      <c r="I34" s="136"/>
      <c r="J34" s="136">
        <f t="shared" si="10"/>
        <v>0.87445986091519501</v>
      </c>
      <c r="K34" s="136"/>
      <c r="L34" s="48">
        <f t="shared" si="5"/>
        <v>20.12569763846129</v>
      </c>
      <c r="M34" s="49">
        <f t="shared" si="6"/>
        <v>0.62848819230644892</v>
      </c>
      <c r="N34" s="48">
        <f t="shared" si="7"/>
        <v>23.86581887481433</v>
      </c>
      <c r="O34" s="50">
        <f t="shared" si="8"/>
        <v>19.329094374071651</v>
      </c>
      <c r="P34" s="1" t="s">
        <v>66</v>
      </c>
    </row>
    <row r="35" spans="1:16" x14ac:dyDescent="0.3">
      <c r="A35" s="12">
        <v>30</v>
      </c>
      <c r="B35" s="14">
        <f>'RTD Resistance @ Temperature'!G26</f>
        <v>558.35</v>
      </c>
      <c r="C35" s="10">
        <f t="shared" si="0"/>
        <v>4.7355884205391938E-4</v>
      </c>
      <c r="D35" s="10">
        <f t="shared" si="1"/>
        <v>0.4735588420539194</v>
      </c>
      <c r="E35" s="10">
        <f t="shared" si="2"/>
        <v>264.41157946080591</v>
      </c>
      <c r="F35" s="10">
        <f t="shared" si="3"/>
        <v>8.7172266078177074</v>
      </c>
      <c r="G35" s="10">
        <f t="shared" si="4"/>
        <v>8.7172266078177074</v>
      </c>
      <c r="H35" s="133">
        <f t="shared" si="9"/>
        <v>0.87172266078177074</v>
      </c>
      <c r="I35" s="133"/>
      <c r="J35" s="133">
        <f t="shared" si="10"/>
        <v>0.86900670196236685</v>
      </c>
      <c r="K35" s="133"/>
      <c r="L35" s="39">
        <f t="shared" si="5"/>
        <v>30.094396028681746</v>
      </c>
      <c r="M35" s="6">
        <f t="shared" si="6"/>
        <v>0.31465342893915488</v>
      </c>
      <c r="N35" s="39">
        <f t="shared" si="7"/>
        <v>35.68708114718364</v>
      </c>
      <c r="O35" s="42">
        <f t="shared" si="8"/>
        <v>18.956937157278801</v>
      </c>
    </row>
    <row r="36" spans="1:16" x14ac:dyDescent="0.3">
      <c r="A36" s="12">
        <v>40</v>
      </c>
      <c r="B36" s="14">
        <f>'RTD Resistance @ Temperature'!G27</f>
        <v>577.70000000000005</v>
      </c>
      <c r="C36" s="10">
        <f t="shared" si="0"/>
        <v>4.7269255131077642E-4</v>
      </c>
      <c r="D36" s="10">
        <f t="shared" si="1"/>
        <v>0.47269255131077642</v>
      </c>
      <c r="E36" s="10">
        <f t="shared" si="2"/>
        <v>273.07448689223554</v>
      </c>
      <c r="F36" s="10">
        <f t="shared" si="3"/>
        <v>8.6629074314296304</v>
      </c>
      <c r="G36" s="10">
        <f t="shared" si="4"/>
        <v>17.380134039247338</v>
      </c>
      <c r="H36" s="133">
        <f t="shared" si="9"/>
        <v>0.86629074314296306</v>
      </c>
      <c r="I36" s="133"/>
      <c r="J36" s="133">
        <f t="shared" si="10"/>
        <v>0.86359579340303583</v>
      </c>
      <c r="K36" s="133"/>
      <c r="L36" s="39">
        <f t="shared" si="5"/>
        <v>40.000977014987029</v>
      </c>
      <c r="M36" s="6">
        <f t="shared" si="6"/>
        <v>2.4425374675729472E-3</v>
      </c>
      <c r="N36" s="39">
        <f t="shared" si="7"/>
        <v>47.43468223585414</v>
      </c>
      <c r="O36" s="42">
        <f t="shared" si="8"/>
        <v>18.586705589635351</v>
      </c>
    </row>
    <row r="37" spans="1:16" x14ac:dyDescent="0.3">
      <c r="A37" s="12">
        <v>50</v>
      </c>
      <c r="B37" s="14">
        <f>'RTD Resistance @ Temperature'!G28</f>
        <v>597</v>
      </c>
      <c r="C37" s="10">
        <f t="shared" si="0"/>
        <v>4.7183165046711331E-4</v>
      </c>
      <c r="D37" s="10">
        <f t="shared" si="1"/>
        <v>0.47183165046711328</v>
      </c>
      <c r="E37" s="10">
        <f t="shared" si="2"/>
        <v>281.68349532886663</v>
      </c>
      <c r="F37" s="10">
        <f t="shared" si="3"/>
        <v>8.6090084366310862</v>
      </c>
      <c r="G37" s="10">
        <f t="shared" si="4"/>
        <v>25.989142475878424</v>
      </c>
      <c r="H37" s="133">
        <f t="shared" si="9"/>
        <v>0.86090084366310859</v>
      </c>
      <c r="I37" s="133"/>
      <c r="J37" s="133">
        <f t="shared" si="10"/>
        <v>0.85711757622618734</v>
      </c>
      <c r="K37" s="133"/>
      <c r="L37" s="39">
        <f t="shared" si="5"/>
        <v>49.845921101524105</v>
      </c>
      <c r="M37" s="6">
        <f t="shared" si="6"/>
        <v>-0.30815779695178946</v>
      </c>
      <c r="N37" s="39">
        <f t="shared" si="7"/>
        <v>59.109191940946381</v>
      </c>
      <c r="O37" s="42">
        <f t="shared" si="8"/>
        <v>18.218383881892763</v>
      </c>
    </row>
    <row r="38" spans="1:16" x14ac:dyDescent="0.3">
      <c r="A38" s="12">
        <v>60</v>
      </c>
      <c r="B38" s="14">
        <f>'RTD Resistance @ Temperature'!G29</f>
        <v>616.19999999999993</v>
      </c>
      <c r="C38" s="10">
        <f t="shared" si="0"/>
        <v>4.7097831615832406E-4</v>
      </c>
      <c r="D38" s="10">
        <f t="shared" si="1"/>
        <v>0.47097831615832408</v>
      </c>
      <c r="E38" s="10">
        <f t="shared" si="2"/>
        <v>290.21683841675929</v>
      </c>
      <c r="F38" s="10">
        <f t="shared" si="3"/>
        <v>8.5333430878926606</v>
      </c>
      <c r="G38" s="10">
        <f t="shared" si="4"/>
        <v>34.522485563771085</v>
      </c>
      <c r="H38" s="133">
        <f t="shared" si="9"/>
        <v>0.85333430878926608</v>
      </c>
      <c r="I38" s="133"/>
      <c r="J38" s="133">
        <f t="shared" si="10"/>
        <v>0.85179379139182176</v>
      </c>
      <c r="K38" s="133"/>
      <c r="L38" s="39">
        <f t="shared" si="5"/>
        <v>59.604337089836946</v>
      </c>
      <c r="M38" s="6">
        <f t="shared" si="6"/>
        <v>-0.65943818360508999</v>
      </c>
      <c r="N38" s="39">
        <f t="shared" si="7"/>
        <v>70.681093331191676</v>
      </c>
      <c r="O38" s="42">
        <f t="shared" si="8"/>
        <v>17.801822218652795</v>
      </c>
    </row>
    <row r="39" spans="1:16" x14ac:dyDescent="0.3">
      <c r="A39" s="12">
        <v>70</v>
      </c>
      <c r="B39" s="14">
        <f>'RTD Resistance @ Temperature'!G30</f>
        <v>635.4</v>
      </c>
      <c r="C39" s="10">
        <f t="shared" si="0"/>
        <v>4.7012806288432968E-4</v>
      </c>
      <c r="D39" s="10">
        <f t="shared" si="1"/>
        <v>0.47012806288432968</v>
      </c>
      <c r="E39" s="10">
        <f t="shared" si="2"/>
        <v>298.71937115670306</v>
      </c>
      <c r="F39" s="10">
        <f t="shared" si="3"/>
        <v>8.5025327399437742</v>
      </c>
      <c r="G39" s="10">
        <f t="shared" si="4"/>
        <v>43.025018303714859</v>
      </c>
      <c r="H39" s="133">
        <f t="shared" si="9"/>
        <v>0.85025327399437745</v>
      </c>
      <c r="I39" s="133"/>
      <c r="J39" s="133">
        <f t="shared" si="10"/>
        <v>0.84651881875563506</v>
      </c>
      <c r="K39" s="133"/>
      <c r="L39" s="39">
        <f t="shared" si="5"/>
        <v>69.327519502172223</v>
      </c>
      <c r="M39" s="6">
        <f t="shared" si="6"/>
        <v>-0.96068642546825356</v>
      </c>
      <c r="N39" s="39">
        <f t="shared" si="7"/>
        <v>82.211213404948055</v>
      </c>
      <c r="O39" s="42">
        <f t="shared" si="8"/>
        <v>17.44459057849722</v>
      </c>
    </row>
    <row r="40" spans="1:16" x14ac:dyDescent="0.3">
      <c r="A40" s="12">
        <v>80</v>
      </c>
      <c r="B40" s="14">
        <f>'RTD Resistance @ Temperature'!G31</f>
        <v>654.5</v>
      </c>
      <c r="C40" s="10">
        <f t="shared" si="0"/>
        <v>4.6928527852081281E-4</v>
      </c>
      <c r="D40" s="10">
        <f t="shared" si="1"/>
        <v>0.46928527852081281</v>
      </c>
      <c r="E40" s="10">
        <f t="shared" si="2"/>
        <v>307.14721479187199</v>
      </c>
      <c r="F40" s="10">
        <f t="shared" si="3"/>
        <v>8.4278436351689265</v>
      </c>
      <c r="G40" s="10">
        <f t="shared" si="4"/>
        <v>51.452861938883785</v>
      </c>
      <c r="H40" s="133">
        <f t="shared" si="9"/>
        <v>0.84278436351689268</v>
      </c>
      <c r="I40" s="133"/>
      <c r="J40" s="133">
        <f t="shared" si="10"/>
        <v>0.84017902192978222</v>
      </c>
      <c r="K40" s="133"/>
      <c r="L40" s="39">
        <f t="shared" si="5"/>
        <v>78.965290212823803</v>
      </c>
      <c r="M40" s="6">
        <f t="shared" si="6"/>
        <v>-1.2933872339702468</v>
      </c>
      <c r="N40" s="39">
        <f t="shared" si="7"/>
        <v>93.640049029400316</v>
      </c>
      <c r="O40" s="42">
        <f t="shared" si="8"/>
        <v>17.050061286750395</v>
      </c>
    </row>
    <row r="41" spans="1:16" x14ac:dyDescent="0.3">
      <c r="A41" s="12">
        <v>90</v>
      </c>
      <c r="B41" s="14">
        <f>'RTD Resistance @ Temperature'!G32</f>
        <v>673.55000000000007</v>
      </c>
      <c r="C41" s="10">
        <f t="shared" si="0"/>
        <v>4.6844770484047015E-4</v>
      </c>
      <c r="D41" s="10">
        <f t="shared" si="1"/>
        <v>0.46844770484047016</v>
      </c>
      <c r="E41" s="10">
        <f t="shared" si="2"/>
        <v>315.52295159529871</v>
      </c>
      <c r="F41" s="10">
        <f t="shared" si="3"/>
        <v>8.3757368034267188</v>
      </c>
      <c r="G41" s="10">
        <f t="shared" si="4"/>
        <v>59.828598742310504</v>
      </c>
      <c r="H41" s="133">
        <f t="shared" si="9"/>
        <v>0.83757368034267188</v>
      </c>
      <c r="I41" s="133"/>
      <c r="J41" s="133">
        <f t="shared" si="10"/>
        <v>0.83498813883109901</v>
      </c>
      <c r="K41" s="133"/>
      <c r="L41" s="39">
        <f t="shared" si="5"/>
        <v>88.543473475187398</v>
      </c>
      <c r="M41" s="6">
        <f t="shared" si="6"/>
        <v>-1.618362805347336</v>
      </c>
      <c r="N41" s="39">
        <f t="shared" si="7"/>
        <v>104.99822358790594</v>
      </c>
      <c r="O41" s="42">
        <f t="shared" si="8"/>
        <v>16.664692875451045</v>
      </c>
    </row>
    <row r="42" spans="1:16" x14ac:dyDescent="0.3">
      <c r="A42" s="12">
        <v>100</v>
      </c>
      <c r="B42" s="14">
        <f>'RTD Resistance @ Temperature'!G33</f>
        <v>692.55</v>
      </c>
      <c r="C42" s="10">
        <f t="shared" si="0"/>
        <v>4.6761530224315065E-4</v>
      </c>
      <c r="D42" s="10">
        <f t="shared" si="1"/>
        <v>0.46761530224315062</v>
      </c>
      <c r="E42" s="10">
        <f t="shared" si="2"/>
        <v>323.84697756849397</v>
      </c>
      <c r="F42" s="10">
        <f t="shared" si="3"/>
        <v>8.3240259731952619</v>
      </c>
      <c r="G42" s="10">
        <f t="shared" si="4"/>
        <v>68.152624715505766</v>
      </c>
      <c r="H42" s="133">
        <f t="shared" si="9"/>
        <v>0.83240259731952615</v>
      </c>
      <c r="I42" s="133"/>
      <c r="J42" s="133">
        <f t="shared" si="10"/>
        <v>0.82874718238211076</v>
      </c>
      <c r="K42" s="133"/>
      <c r="L42" s="39">
        <f t="shared" si="5"/>
        <v>98.062522141964948</v>
      </c>
      <c r="M42" s="6">
        <f t="shared" si="6"/>
        <v>-1.9374778580350522</v>
      </c>
      <c r="N42" s="39">
        <f t="shared" si="7"/>
        <v>116.28627409044866</v>
      </c>
      <c r="O42" s="42">
        <f t="shared" si="8"/>
        <v>16.286274090448657</v>
      </c>
    </row>
    <row r="43" spans="1:16" x14ac:dyDescent="0.3">
      <c r="A43" s="12">
        <v>110</v>
      </c>
      <c r="B43" s="14">
        <f>'RTD Resistance @ Temperature'!G34</f>
        <v>711.44999999999993</v>
      </c>
      <c r="C43" s="10">
        <f t="shared" si="0"/>
        <v>4.667902104757059E-4</v>
      </c>
      <c r="D43" s="10">
        <f t="shared" si="1"/>
        <v>0.4667902104757059</v>
      </c>
      <c r="E43" s="10">
        <f t="shared" si="2"/>
        <v>332.09789524294092</v>
      </c>
      <c r="F43" s="10">
        <f t="shared" si="3"/>
        <v>8.2509176744469528</v>
      </c>
      <c r="G43" s="10">
        <f t="shared" si="4"/>
        <v>76.403542389952719</v>
      </c>
      <c r="H43" s="133">
        <f t="shared" si="9"/>
        <v>0.82509176744469526</v>
      </c>
      <c r="I43" s="133"/>
      <c r="J43" s="133">
        <f t="shared" si="10"/>
        <v>0.8236384845224507</v>
      </c>
      <c r="K43" s="133"/>
      <c r="L43" s="39">
        <f t="shared" si="5"/>
        <v>107.49796685844591</v>
      </c>
      <c r="M43" s="6">
        <f t="shared" si="6"/>
        <v>-2.2745755832309942</v>
      </c>
      <c r="N43" s="39">
        <f t="shared" si="7"/>
        <v>127.4751838441418</v>
      </c>
      <c r="O43" s="42">
        <f t="shared" si="8"/>
        <v>15.886530767401633</v>
      </c>
    </row>
    <row r="44" spans="1:16" x14ac:dyDescent="0.3">
      <c r="A44" s="12">
        <v>120</v>
      </c>
      <c r="B44" s="14">
        <f>'RTD Resistance @ Temperature'!G35</f>
        <v>730.34999999999991</v>
      </c>
      <c r="C44" s="10">
        <f t="shared" si="0"/>
        <v>4.6596802527410565E-4</v>
      </c>
      <c r="D44" s="10">
        <f t="shared" si="1"/>
        <v>0.46596802527410563</v>
      </c>
      <c r="E44" s="10">
        <f t="shared" si="2"/>
        <v>340.31974725894298</v>
      </c>
      <c r="F44" s="10">
        <f t="shared" si="3"/>
        <v>8.2218520160020603</v>
      </c>
      <c r="G44" s="10">
        <f t="shared" si="4"/>
        <v>84.625394405954779</v>
      </c>
      <c r="H44" s="133">
        <f t="shared" si="9"/>
        <v>0.82218520160020603</v>
      </c>
      <c r="I44" s="133"/>
      <c r="J44" s="133">
        <f t="shared" si="10"/>
        <v>0.81857593088450076</v>
      </c>
      <c r="K44" s="133"/>
      <c r="L44" s="39">
        <f t="shared" si="5"/>
        <v>116.90017316142843</v>
      </c>
      <c r="M44" s="6">
        <f t="shared" si="6"/>
        <v>-2.583189032142978</v>
      </c>
      <c r="N44" s="39">
        <f t="shared" si="7"/>
        <v>138.6246782210122</v>
      </c>
      <c r="O44" s="42">
        <f t="shared" si="8"/>
        <v>15.520565184176835</v>
      </c>
    </row>
    <row r="45" spans="1:16" x14ac:dyDescent="0.3">
      <c r="A45" s="12">
        <v>130</v>
      </c>
      <c r="B45" s="14">
        <f>'RTD Resistance @ Temperature'!G36</f>
        <v>749.15000000000009</v>
      </c>
      <c r="C45" s="10">
        <f t="shared" si="0"/>
        <v>4.6515305861393694E-4</v>
      </c>
      <c r="D45" s="10">
        <f t="shared" si="1"/>
        <v>0.46515305861393696</v>
      </c>
      <c r="E45" s="10">
        <f t="shared" si="2"/>
        <v>348.46941386063094</v>
      </c>
      <c r="F45" s="10">
        <f t="shared" si="3"/>
        <v>8.1496666016879544</v>
      </c>
      <c r="G45" s="10">
        <f t="shared" si="4"/>
        <v>92.775061007642734</v>
      </c>
      <c r="H45" s="133">
        <f t="shared" si="9"/>
        <v>0.81496666016879549</v>
      </c>
      <c r="I45" s="133"/>
      <c r="J45" s="133">
        <f t="shared" si="10"/>
        <v>0.81246572447008414</v>
      </c>
      <c r="K45" s="133"/>
      <c r="L45" s="39">
        <f t="shared" si="5"/>
        <v>126.21983089066788</v>
      </c>
      <c r="M45" s="6">
        <f t="shared" si="6"/>
        <v>-2.907822391793939</v>
      </c>
      <c r="N45" s="39">
        <f>($E45-$M$2)/$M$7</f>
        <v>149.67628335475095</v>
      </c>
      <c r="O45" s="42">
        <f t="shared" si="8"/>
        <v>15.135602580577654</v>
      </c>
    </row>
    <row r="46" spans="1:16" x14ac:dyDescent="0.3">
      <c r="A46" s="12">
        <v>140</v>
      </c>
      <c r="B46" s="14">
        <f>'RTD Resistance @ Temperature'!G37</f>
        <v>767.90000000000009</v>
      </c>
      <c r="C46" s="10">
        <f t="shared" si="0"/>
        <v>4.6434309382516556E-4</v>
      </c>
      <c r="D46" s="10">
        <f t="shared" si="1"/>
        <v>0.46434309382516553</v>
      </c>
      <c r="E46" s="10">
        <f t="shared" si="2"/>
        <v>356.56906174834467</v>
      </c>
      <c r="F46" s="10">
        <f t="shared" si="3"/>
        <v>8.0996478877137292</v>
      </c>
      <c r="G46" s="10">
        <f t="shared" si="4"/>
        <v>100.87470889535646</v>
      </c>
      <c r="H46" s="133">
        <f t="shared" si="9"/>
        <v>0.8099647887713729</v>
      </c>
      <c r="I46" s="133"/>
      <c r="J46" s="133">
        <f t="shared" si="10"/>
        <v>0.80855685954502121</v>
      </c>
      <c r="K46" s="133"/>
      <c r="L46" s="39">
        <f t="shared" si="5"/>
        <v>135.48228906597711</v>
      </c>
      <c r="M46" s="6">
        <f t="shared" si="6"/>
        <v>-3.226936381444919</v>
      </c>
      <c r="N46" s="39">
        <f t="shared" si="7"/>
        <v>160.66005907863061</v>
      </c>
      <c r="O46" s="42">
        <f t="shared" si="8"/>
        <v>14.757185056164721</v>
      </c>
    </row>
    <row r="47" spans="1:16" x14ac:dyDescent="0.3">
      <c r="A47" s="12">
        <v>150</v>
      </c>
      <c r="B47" s="14">
        <f>'RTD Resistance @ Temperature'!G38</f>
        <v>786.65000000000009</v>
      </c>
      <c r="C47" s="10">
        <f t="shared" si="0"/>
        <v>4.6353594489484688E-4</v>
      </c>
      <c r="D47" s="10">
        <f t="shared" si="1"/>
        <v>0.4635359448948469</v>
      </c>
      <c r="E47" s="10">
        <f t="shared" si="2"/>
        <v>364.64055105153136</v>
      </c>
      <c r="F47" s="10">
        <f t="shared" si="3"/>
        <v>8.071489303186695</v>
      </c>
      <c r="G47" s="10">
        <f t="shared" si="4"/>
        <v>108.94619819854316</v>
      </c>
      <c r="H47" s="133">
        <f t="shared" si="9"/>
        <v>0.80714893031866952</v>
      </c>
      <c r="I47" s="133"/>
      <c r="J47" s="133">
        <f t="shared" si="10"/>
        <v>0.80253647784039683</v>
      </c>
      <c r="K47" s="133"/>
      <c r="L47" s="39">
        <f t="shared" si="5"/>
        <v>144.71254612401887</v>
      </c>
      <c r="M47" s="6">
        <f t="shared" si="6"/>
        <v>-3.5249692506540855</v>
      </c>
      <c r="N47" s="39">
        <f t="shared" si="7"/>
        <v>171.60564949107027</v>
      </c>
      <c r="O47" s="42">
        <f t="shared" si="8"/>
        <v>14.403766327380177</v>
      </c>
    </row>
    <row r="48" spans="1:16" x14ac:dyDescent="0.3">
      <c r="A48" s="12">
        <v>160</v>
      </c>
      <c r="B48" s="14">
        <f>'RTD Resistance @ Temperature'!G39</f>
        <v>805.25</v>
      </c>
      <c r="C48" s="10">
        <f t="shared" si="0"/>
        <v>4.6273802086948472E-4</v>
      </c>
      <c r="D48" s="10">
        <f t="shared" si="1"/>
        <v>0.46273802086948473</v>
      </c>
      <c r="E48" s="10">
        <f t="shared" si="2"/>
        <v>372.6197913051526</v>
      </c>
      <c r="F48" s="10">
        <f t="shared" si="3"/>
        <v>7.9792402536212421</v>
      </c>
      <c r="G48" s="10">
        <f t="shared" si="4"/>
        <v>116.9254384521644</v>
      </c>
      <c r="H48" s="133">
        <f t="shared" si="9"/>
        <v>0.79792402536212426</v>
      </c>
      <c r="I48" s="133"/>
      <c r="J48" s="133">
        <f t="shared" si="10"/>
        <v>0.79655285088430783</v>
      </c>
      <c r="K48" s="133"/>
      <c r="L48" s="39">
        <f t="shared" si="5"/>
        <v>153.83731057606622</v>
      </c>
      <c r="M48" s="6">
        <f t="shared" si="6"/>
        <v>-3.8516808899586157</v>
      </c>
      <c r="N48" s="39">
        <f t="shared" si="7"/>
        <v>182.42614275296526</v>
      </c>
      <c r="O48" s="42">
        <f t="shared" si="8"/>
        <v>14.016339220603289</v>
      </c>
    </row>
    <row r="49" spans="1:15" x14ac:dyDescent="0.3">
      <c r="A49" s="12">
        <v>170</v>
      </c>
      <c r="B49" s="14">
        <f>'RTD Resistance @ Temperature'!G40</f>
        <v>823.85</v>
      </c>
      <c r="C49" s="10">
        <f t="shared" si="0"/>
        <v>4.6194283919307822E-4</v>
      </c>
      <c r="D49" s="10">
        <f t="shared" si="1"/>
        <v>0.46194283919307821</v>
      </c>
      <c r="E49" s="10">
        <f t="shared" si="2"/>
        <v>380.57160806921752</v>
      </c>
      <c r="F49" s="10">
        <f t="shared" si="3"/>
        <v>7.9518167640649153</v>
      </c>
      <c r="G49" s="10">
        <f t="shared" si="4"/>
        <v>124.87725521622932</v>
      </c>
      <c r="H49" s="133">
        <f t="shared" si="9"/>
        <v>0.79518167640649151</v>
      </c>
      <c r="I49" s="133"/>
      <c r="J49" s="133">
        <f t="shared" si="10"/>
        <v>0.79275425529870347</v>
      </c>
      <c r="K49" s="133"/>
      <c r="L49" s="39">
        <f t="shared" si="5"/>
        <v>162.9307145383049</v>
      </c>
      <c r="M49" s="6">
        <f t="shared" si="6"/>
        <v>-4.1584032127618249</v>
      </c>
      <c r="N49" s="39">
        <f t="shared" si="7"/>
        <v>193.20944755148153</v>
      </c>
      <c r="O49" s="42">
        <f t="shared" si="8"/>
        <v>13.652616206753843</v>
      </c>
    </row>
    <row r="50" spans="1:15" x14ac:dyDescent="0.3">
      <c r="A50" s="12">
        <v>180</v>
      </c>
      <c r="B50" s="14">
        <f>'RTD Resistance @ Temperature'!G41</f>
        <v>842.4</v>
      </c>
      <c r="C50" s="10">
        <f t="shared" si="0"/>
        <v>4.6115251235888735E-4</v>
      </c>
      <c r="D50" s="10">
        <f t="shared" si="1"/>
        <v>0.46115251235888732</v>
      </c>
      <c r="E50" s="10">
        <f t="shared" si="2"/>
        <v>388.47487641112667</v>
      </c>
      <c r="F50" s="10">
        <f t="shared" si="3"/>
        <v>7.9032683419091541</v>
      </c>
      <c r="G50" s="10">
        <f t="shared" si="4"/>
        <v>132.78052355813847</v>
      </c>
      <c r="H50" s="133">
        <f t="shared" si="9"/>
        <v>0.79032683419091543</v>
      </c>
      <c r="I50" s="133"/>
      <c r="J50" s="133">
        <f t="shared" si="10"/>
        <v>0.78685761474211513</v>
      </c>
      <c r="K50" s="133"/>
      <c r="L50" s="39">
        <f t="shared" si="5"/>
        <v>171.96860031803379</v>
      </c>
      <c r="M50" s="6">
        <f t="shared" si="6"/>
        <v>-4.4618887122034483</v>
      </c>
      <c r="N50" s="39">
        <f t="shared" si="7"/>
        <v>203.92691677441482</v>
      </c>
      <c r="O50" s="42">
        <f t="shared" si="8"/>
        <v>13.292731541341569</v>
      </c>
    </row>
    <row r="51" spans="1:15" x14ac:dyDescent="0.3">
      <c r="A51" s="12">
        <v>190</v>
      </c>
      <c r="B51" s="14">
        <f>'RTD Resistance @ Temperature'!G42</f>
        <v>860.84999999999991</v>
      </c>
      <c r="C51" s="10">
        <f t="shared" si="0"/>
        <v>4.6036912396359397E-4</v>
      </c>
      <c r="D51" s="10">
        <f t="shared" si="1"/>
        <v>0.46036912396359397</v>
      </c>
      <c r="E51" s="10">
        <f t="shared" si="2"/>
        <v>396.30876036405982</v>
      </c>
      <c r="F51" s="10">
        <f t="shared" si="3"/>
        <v>7.8338839529331494</v>
      </c>
      <c r="G51" s="10">
        <f t="shared" si="4"/>
        <v>140.61440751107162</v>
      </c>
      <c r="H51" s="133">
        <f t="shared" si="9"/>
        <v>0.78338839529331494</v>
      </c>
      <c r="I51" s="133"/>
      <c r="J51" s="133">
        <f t="shared" si="10"/>
        <v>0.78205986166587138</v>
      </c>
      <c r="K51" s="133"/>
      <c r="L51" s="39">
        <f t="shared" si="5"/>
        <v>180.92714067314438</v>
      </c>
      <c r="M51" s="6">
        <f t="shared" si="6"/>
        <v>-4.7751891193976954</v>
      </c>
      <c r="N51" s="39">
        <f t="shared" si="7"/>
        <v>214.5502951704608</v>
      </c>
      <c r="O51" s="42">
        <f t="shared" si="8"/>
        <v>12.921207984453053</v>
      </c>
    </row>
    <row r="52" spans="1:15" x14ac:dyDescent="0.3">
      <c r="A52" s="12">
        <v>200</v>
      </c>
      <c r="B52" s="14">
        <f>'RTD Resistance @ Temperature'!G43</f>
        <v>879.30000000000007</v>
      </c>
      <c r="C52" s="10">
        <f t="shared" si="0"/>
        <v>4.5958839263555561E-4</v>
      </c>
      <c r="D52" s="10">
        <f t="shared" si="1"/>
        <v>0.45958839263555562</v>
      </c>
      <c r="E52" s="10">
        <f t="shared" si="2"/>
        <v>404.1160736444441</v>
      </c>
      <c r="F52" s="10">
        <f t="shared" si="3"/>
        <v>7.8073132803842782</v>
      </c>
      <c r="G52" s="10">
        <f t="shared" si="4"/>
        <v>148.4217207914559</v>
      </c>
      <c r="H52" s="133">
        <f t="shared" si="9"/>
        <v>0.78073132803842782</v>
      </c>
      <c r="I52" s="133"/>
      <c r="J52" s="133">
        <f t="shared" si="10"/>
        <v>0.77730445379785351</v>
      </c>
      <c r="K52" s="133"/>
      <c r="L52" s="39">
        <f t="shared" si="5"/>
        <v>189.8552957884784</v>
      </c>
      <c r="M52" s="6">
        <f t="shared" si="6"/>
        <v>-5.0723521057607996</v>
      </c>
      <c r="N52" s="39">
        <f t="shared" si="7"/>
        <v>225.13764159176478</v>
      </c>
      <c r="O52" s="42">
        <f t="shared" si="8"/>
        <v>12.568820795882388</v>
      </c>
    </row>
    <row r="53" spans="1:15" x14ac:dyDescent="0.3">
      <c r="A53" s="12">
        <v>210</v>
      </c>
      <c r="B53" s="14">
        <f>'RTD Resistance @ Temperature'!G44</f>
        <v>897.65</v>
      </c>
      <c r="C53" s="10">
        <f t="shared" si="0"/>
        <v>4.5881451505599833E-4</v>
      </c>
      <c r="D53" s="10">
        <f t="shared" si="1"/>
        <v>0.45881451505599835</v>
      </c>
      <c r="E53" s="10">
        <f t="shared" si="2"/>
        <v>411.85484944001689</v>
      </c>
      <c r="F53" s="10">
        <f t="shared" si="3"/>
        <v>7.738775795572792</v>
      </c>
      <c r="G53" s="10">
        <f t="shared" si="4"/>
        <v>156.16049658702869</v>
      </c>
      <c r="H53" s="133">
        <f t="shared" si="9"/>
        <v>0.7738775795572792</v>
      </c>
      <c r="I53" s="133"/>
      <c r="J53" s="133">
        <f t="shared" si="10"/>
        <v>0.77152765403345713</v>
      </c>
      <c r="K53" s="133"/>
      <c r="L53" s="39">
        <f t="shared" si="5"/>
        <v>198.70507396751742</v>
      </c>
      <c r="M53" s="6">
        <f t="shared" si="6"/>
        <v>-5.3785362059440853</v>
      </c>
      <c r="N53" s="39">
        <f t="shared" si="7"/>
        <v>235.63204565652629</v>
      </c>
      <c r="O53" s="42">
        <f t="shared" si="8"/>
        <v>12.205736026917279</v>
      </c>
    </row>
    <row r="54" spans="1:15" x14ac:dyDescent="0.3">
      <c r="A54" s="12">
        <v>220</v>
      </c>
      <c r="B54" s="14">
        <f>'RTD Resistance @ Temperature'!G45</f>
        <v>915.95</v>
      </c>
      <c r="C54" s="10">
        <f t="shared" si="0"/>
        <v>4.5804533732748866E-4</v>
      </c>
      <c r="D54" s="10">
        <f t="shared" si="1"/>
        <v>0.45804533732748864</v>
      </c>
      <c r="E54" s="10">
        <f t="shared" si="2"/>
        <v>419.54662672511324</v>
      </c>
      <c r="F54" s="10">
        <f t="shared" si="3"/>
        <v>7.6917772850963502</v>
      </c>
      <c r="G54" s="10">
        <f t="shared" si="4"/>
        <v>163.85227387212504</v>
      </c>
      <c r="H54" s="133">
        <f t="shared" si="9"/>
        <v>0.76917772850963506</v>
      </c>
      <c r="I54" s="133"/>
      <c r="J54" s="133">
        <f t="shared" si="10"/>
        <v>0.76684487778240396</v>
      </c>
      <c r="K54" s="133"/>
      <c r="L54" s="39">
        <f t="shared" si="5"/>
        <v>207.50110638579935</v>
      </c>
      <c r="M54" s="6">
        <f t="shared" si="6"/>
        <v>-5.6813152791821153</v>
      </c>
      <c r="N54" s="39">
        <f t="shared" si="7"/>
        <v>246.0627159509331</v>
      </c>
      <c r="O54" s="42">
        <f t="shared" si="8"/>
        <v>11.846689068605954</v>
      </c>
    </row>
    <row r="55" spans="1:15" x14ac:dyDescent="0.3">
      <c r="A55" s="12">
        <v>230</v>
      </c>
      <c r="B55" s="14">
        <f>'RTD Resistance @ Temperature'!G46</f>
        <v>934.2</v>
      </c>
      <c r="C55" s="10">
        <f t="shared" si="0"/>
        <v>4.5728082530043348E-4</v>
      </c>
      <c r="D55" s="10">
        <f t="shared" si="1"/>
        <v>0.45728082530043346</v>
      </c>
      <c r="E55" s="10">
        <f t="shared" si="2"/>
        <v>427.19174699566497</v>
      </c>
      <c r="F55" s="10">
        <f t="shared" si="3"/>
        <v>7.6451202705517289</v>
      </c>
      <c r="G55" s="10">
        <f t="shared" si="4"/>
        <v>171.49739414267677</v>
      </c>
      <c r="H55" s="133">
        <f t="shared" si="9"/>
        <v>0.76451202705517285</v>
      </c>
      <c r="I55" s="133"/>
      <c r="J55" s="133">
        <f t="shared" si="10"/>
        <v>0.76115401163771135</v>
      </c>
      <c r="K55" s="133"/>
      <c r="L55" s="39">
        <f t="shared" si="5"/>
        <v>216.2437835654591</v>
      </c>
      <c r="M55" s="6">
        <f t="shared" si="6"/>
        <v>-5.9809636671916975</v>
      </c>
      <c r="N55" s="39">
        <f t="shared" si="7"/>
        <v>256.43011557100834</v>
      </c>
      <c r="O55" s="42">
        <f t="shared" si="8"/>
        <v>11.491354596090584</v>
      </c>
    </row>
    <row r="56" spans="1:15" x14ac:dyDescent="0.3">
      <c r="A56" s="12">
        <v>240</v>
      </c>
      <c r="B56" s="14">
        <f>'RTD Resistance @ Temperature'!G47</f>
        <v>952.35</v>
      </c>
      <c r="C56" s="10">
        <f t="shared" si="0"/>
        <v>4.5652302930421321E-4</v>
      </c>
      <c r="D56" s="10">
        <f t="shared" si="1"/>
        <v>0.45652302930421323</v>
      </c>
      <c r="E56" s="10">
        <f t="shared" si="2"/>
        <v>434.76970695786747</v>
      </c>
      <c r="F56" s="10">
        <f t="shared" si="3"/>
        <v>7.5779599622024989</v>
      </c>
      <c r="G56" s="10">
        <f t="shared" si="4"/>
        <v>179.07535410487927</v>
      </c>
      <c r="H56" s="133">
        <f t="shared" si="9"/>
        <v>0.75779599622024985</v>
      </c>
      <c r="I56" s="133"/>
      <c r="J56" s="133">
        <f t="shared" si="10"/>
        <v>0.75654227056222401</v>
      </c>
      <c r="K56" s="133"/>
      <c r="L56" s="39">
        <f t="shared" si="5"/>
        <v>224.90965869696203</v>
      </c>
      <c r="M56" s="6">
        <f t="shared" si="6"/>
        <v>-6.2876422095991567</v>
      </c>
      <c r="N56" s="39">
        <f t="shared" si="7"/>
        <v>266.706440396885</v>
      </c>
      <c r="O56" s="42">
        <f t="shared" si="8"/>
        <v>11.127683498702083</v>
      </c>
    </row>
    <row r="57" spans="1:15" x14ac:dyDescent="0.3">
      <c r="A57" s="12">
        <v>250</v>
      </c>
      <c r="B57" s="14">
        <f>'RTD Resistance @ Temperature'!G48</f>
        <v>970.5</v>
      </c>
      <c r="C57" s="10">
        <f t="shared" si="0"/>
        <v>4.5576774075930908E-4</v>
      </c>
      <c r="D57" s="10">
        <f t="shared" si="1"/>
        <v>0.45576774075930909</v>
      </c>
      <c r="E57" s="10">
        <f t="shared" si="2"/>
        <v>442.32259240690945</v>
      </c>
      <c r="F57" s="10">
        <f t="shared" si="3"/>
        <v>7.5528854490419803</v>
      </c>
      <c r="G57" s="10">
        <f t="shared" si="4"/>
        <v>186.62823955392125</v>
      </c>
      <c r="H57" s="133">
        <f t="shared" si="9"/>
        <v>0.75528854490419806</v>
      </c>
      <c r="I57" s="133"/>
      <c r="J57" s="133">
        <f t="shared" si="10"/>
        <v>0.75197062673476578</v>
      </c>
      <c r="K57" s="133"/>
      <c r="L57" s="39">
        <f t="shared" si="5"/>
        <v>233.54685954130639</v>
      </c>
      <c r="M57" s="6">
        <f t="shared" si="6"/>
        <v>-6.5812561834774437</v>
      </c>
      <c r="N57" s="39">
        <f t="shared" si="7"/>
        <v>276.9487621608065</v>
      </c>
      <c r="O57" s="42">
        <f t="shared" si="8"/>
        <v>10.779504864322597</v>
      </c>
    </row>
    <row r="58" spans="1:15" x14ac:dyDescent="0.3">
      <c r="A58" s="12">
        <v>260</v>
      </c>
      <c r="B58" s="14">
        <f>'RTD Resistance @ Temperature'!G49</f>
        <v>988.55000000000007</v>
      </c>
      <c r="C58" s="10">
        <f t="shared" si="0"/>
        <v>4.5501908805074375E-4</v>
      </c>
      <c r="D58" s="10">
        <f t="shared" si="1"/>
        <v>0.45501908805074376</v>
      </c>
      <c r="E58" s="10">
        <f t="shared" si="2"/>
        <v>449.80911949256279</v>
      </c>
      <c r="F58" s="10">
        <f t="shared" si="3"/>
        <v>7.4865270856533357</v>
      </c>
      <c r="G58" s="10">
        <f t="shared" si="4"/>
        <v>194.11476663957458</v>
      </c>
      <c r="H58" s="133">
        <f t="shared" si="9"/>
        <v>0.74865270856533361</v>
      </c>
      <c r="I58" s="133"/>
      <c r="J58" s="133">
        <f t="shared" si="10"/>
        <v>0.74639315018661989</v>
      </c>
      <c r="K58" s="133"/>
      <c r="L58" s="39">
        <f t="shared" si="5"/>
        <v>242.10817541213214</v>
      </c>
      <c r="M58" s="6">
        <f t="shared" si="6"/>
        <v>-6.8814709953337925</v>
      </c>
      <c r="N58" s="39">
        <f t="shared" si="7"/>
        <v>287.10109663256804</v>
      </c>
      <c r="O58" s="42">
        <f t="shared" si="8"/>
        <v>10.423498704833863</v>
      </c>
    </row>
    <row r="59" spans="1:15" x14ac:dyDescent="0.3">
      <c r="A59" s="12">
        <v>270</v>
      </c>
      <c r="B59" s="14">
        <f>'RTD Resistance @ Temperature'!G50</f>
        <v>1006.55</v>
      </c>
      <c r="C59" s="10">
        <f t="shared" si="0"/>
        <v>4.5427495445893583E-4</v>
      </c>
      <c r="D59" s="10">
        <f t="shared" si="1"/>
        <v>0.45427495445893584</v>
      </c>
      <c r="E59" s="10">
        <f t="shared" si="2"/>
        <v>457.25045541064185</v>
      </c>
      <c r="F59" s="10">
        <f t="shared" si="3"/>
        <v>7.4413359180790621</v>
      </c>
      <c r="G59" s="10">
        <f t="shared" si="4"/>
        <v>201.55610255765365</v>
      </c>
      <c r="H59" s="133">
        <f t="shared" si="9"/>
        <v>0.74413359180790617</v>
      </c>
      <c r="I59" s="133"/>
      <c r="J59" s="133">
        <f t="shared" si="10"/>
        <v>0.7418901635187154</v>
      </c>
      <c r="K59" s="133"/>
      <c r="L59" s="39">
        <f t="shared" si="5"/>
        <v>250.61781233279206</v>
      </c>
      <c r="M59" s="6">
        <f t="shared" si="6"/>
        <v>-7.1785880248918312</v>
      </c>
      <c r="N59" s="39">
        <f t="shared" si="7"/>
        <v>297.1921482367016</v>
      </c>
      <c r="O59" s="42">
        <f t="shared" si="8"/>
        <v>10.071166013593185</v>
      </c>
    </row>
    <row r="60" spans="1:15" x14ac:dyDescent="0.3">
      <c r="A60" s="12">
        <v>280</v>
      </c>
      <c r="B60" s="14">
        <f>'RTD Resistance @ Temperature'!G51</f>
        <v>1024.5</v>
      </c>
      <c r="C60" s="10">
        <f t="shared" si="0"/>
        <v>4.535353077237063E-4</v>
      </c>
      <c r="D60" s="10">
        <f t="shared" si="1"/>
        <v>0.45353530772370632</v>
      </c>
      <c r="E60" s="10">
        <f t="shared" si="2"/>
        <v>464.64692276293709</v>
      </c>
      <c r="F60" s="10">
        <f t="shared" si="3"/>
        <v>7.3964673522952467</v>
      </c>
      <c r="G60" s="10">
        <f t="shared" si="4"/>
        <v>208.95256990994889</v>
      </c>
      <c r="H60" s="133">
        <f t="shared" si="9"/>
        <v>0.73964673522952462</v>
      </c>
      <c r="I60" s="133"/>
      <c r="J60" s="133">
        <f t="shared" si="10"/>
        <v>0.73741927105306782</v>
      </c>
      <c r="K60" s="133"/>
      <c r="L60" s="39">
        <f t="shared" si="5"/>
        <v>259.07613921877879</v>
      </c>
      <c r="M60" s="6">
        <f t="shared" si="6"/>
        <v>-7.4728074218647178</v>
      </c>
      <c r="N60" s="39">
        <f t="shared" si="7"/>
        <v>307.22235444725095</v>
      </c>
      <c r="O60" s="42">
        <f t="shared" si="8"/>
        <v>9.7222694454467682</v>
      </c>
    </row>
    <row r="61" spans="1:15" x14ac:dyDescent="0.3">
      <c r="A61" s="12">
        <v>290</v>
      </c>
      <c r="B61" s="14">
        <f>'RTD Resistance @ Temperature'!G52</f>
        <v>1042.3999999999999</v>
      </c>
      <c r="C61" s="10">
        <f t="shared" si="0"/>
        <v>4.5280011591682968E-4</v>
      </c>
      <c r="D61" s="10">
        <f t="shared" si="1"/>
        <v>0.45280011591682967</v>
      </c>
      <c r="E61" s="10">
        <f t="shared" si="2"/>
        <v>471.99884083170321</v>
      </c>
      <c r="F61" s="10">
        <f t="shared" si="3"/>
        <v>7.3519180687661105</v>
      </c>
      <c r="G61" s="10">
        <f t="shared" si="4"/>
        <v>216.304487978715</v>
      </c>
      <c r="H61" s="133">
        <f t="shared" si="9"/>
        <v>0.73519180687661101</v>
      </c>
      <c r="I61" s="133"/>
      <c r="J61" s="133">
        <f t="shared" si="10"/>
        <v>0.73298014290465685</v>
      </c>
      <c r="K61" s="133"/>
      <c r="L61" s="39">
        <f t="shared" si="5"/>
        <v>267.48352118948668</v>
      </c>
      <c r="M61" s="6">
        <f t="shared" si="6"/>
        <v>-7.764303038108042</v>
      </c>
      <c r="N61" s="39">
        <f t="shared" si="7"/>
        <v>317.1921482367016</v>
      </c>
      <c r="O61" s="42">
        <f t="shared" si="8"/>
        <v>9.3766028402419312</v>
      </c>
    </row>
    <row r="62" spans="1:15" x14ac:dyDescent="0.3">
      <c r="A62" s="12">
        <v>300</v>
      </c>
      <c r="B62" s="14">
        <f>'RTD Resistance @ Temperature'!G53</f>
        <v>1060.25</v>
      </c>
      <c r="C62" s="10">
        <f t="shared" si="0"/>
        <v>4.5206934743789696E-4</v>
      </c>
      <c r="D62" s="10">
        <f t="shared" si="1"/>
        <v>0.45206934743789695</v>
      </c>
      <c r="E62" s="10">
        <f t="shared" si="2"/>
        <v>479.30652562103023</v>
      </c>
      <c r="F62" s="10">
        <f t="shared" si="3"/>
        <v>7.3076847893270269</v>
      </c>
      <c r="G62" s="10">
        <f t="shared" si="4"/>
        <v>223.61217276804203</v>
      </c>
      <c r="H62" s="133">
        <f t="shared" si="9"/>
        <v>0.73076847893270269</v>
      </c>
      <c r="I62" s="133"/>
      <c r="J62" s="133">
        <f t="shared" si="10"/>
        <v>0.72857245329435893</v>
      </c>
      <c r="K62" s="133"/>
      <c r="L62" s="39">
        <f t="shared" si="5"/>
        <v>275.84031961552182</v>
      </c>
      <c r="M62" s="6">
        <f t="shared" si="6"/>
        <v>-8.0532267948260596</v>
      </c>
      <c r="N62" s="39">
        <f t="shared" si="7"/>
        <v>327.10195813208355</v>
      </c>
      <c r="O62" s="42">
        <f t="shared" si="8"/>
        <v>9.0339860440278521</v>
      </c>
    </row>
    <row r="63" spans="1:15" x14ac:dyDescent="0.3">
      <c r="A63" s="12">
        <v>310</v>
      </c>
      <c r="B63" s="14">
        <f>'RTD Resistance @ Temperature'!G54</f>
        <v>1078.0500000000002</v>
      </c>
      <c r="C63" s="10">
        <f t="shared" si="0"/>
        <v>4.5134297101024099E-4</v>
      </c>
      <c r="D63" s="10">
        <f t="shared" si="1"/>
        <v>0.45134297101024101</v>
      </c>
      <c r="E63" s="10">
        <f t="shared" si="2"/>
        <v>486.57028989759038</v>
      </c>
      <c r="F63" s="10">
        <f t="shared" si="3"/>
        <v>7.2637642765601527</v>
      </c>
      <c r="G63" s="10">
        <f t="shared" si="4"/>
        <v>230.87593704460218</v>
      </c>
      <c r="H63" s="133">
        <f t="shared" si="9"/>
        <v>0.72637642765601529</v>
      </c>
      <c r="I63" s="133"/>
      <c r="J63" s="133">
        <f t="shared" si="10"/>
        <v>0.72318057968345217</v>
      </c>
      <c r="K63" s="133"/>
      <c r="L63" s="39">
        <f t="shared" si="5"/>
        <v>284.14689216529905</v>
      </c>
      <c r="M63" s="6">
        <f t="shared" si="6"/>
        <v>-8.3397122047422414</v>
      </c>
      <c r="N63" s="39">
        <f t="shared" si="7"/>
        <v>336.95220827022706</v>
      </c>
      <c r="O63" s="42">
        <f t="shared" si="8"/>
        <v>8.6942607323313101</v>
      </c>
    </row>
    <row r="64" spans="1:15" ht="15" thickBot="1" x14ac:dyDescent="0.35">
      <c r="A64" s="3">
        <v>320</v>
      </c>
      <c r="B64" s="15">
        <f>'RTD Resistance @ Temperature'!G55</f>
        <v>1095.75</v>
      </c>
      <c r="C64" s="11">
        <f t="shared" si="0"/>
        <v>4.5062298627853006E-4</v>
      </c>
      <c r="D64" s="11">
        <f t="shared" si="1"/>
        <v>0.45062298627853004</v>
      </c>
      <c r="E64" s="11">
        <f t="shared" si="2"/>
        <v>493.77013721469928</v>
      </c>
      <c r="F64" s="11">
        <f>E64-E63</f>
        <v>7.1998473171088904</v>
      </c>
      <c r="G64" s="11">
        <f t="shared" si="4"/>
        <v>238.07578436171107</v>
      </c>
      <c r="H64" s="134">
        <f>F64/(A64-A63)</f>
        <v>0.71998473171088906</v>
      </c>
      <c r="I64" s="134"/>
      <c r="J64" s="134">
        <f>(E64-E63) / (A64-A63)</f>
        <v>0.71998473171088906</v>
      </c>
      <c r="K64" s="134"/>
      <c r="L64" s="43">
        <f t="shared" si="5"/>
        <v>292.3803716409306</v>
      </c>
      <c r="M64" s="7">
        <f t="shared" si="6"/>
        <v>-8.631133862209186</v>
      </c>
      <c r="N64" s="43">
        <f t="shared" si="7"/>
        <v>346.71578185683427</v>
      </c>
      <c r="O64" s="44">
        <f t="shared" si="8"/>
        <v>8.3486818302607091</v>
      </c>
    </row>
  </sheetData>
  <sheetProtection algorithmName="SHA-512" hashValue="qdt0IxjRQlO6VLAWR3gayeE2jozIoVeSo0qD9P+DZO5hj/Zr5g+7RfMlz1ZUu11/Sf2zfDl5ZUTRdDEWk7sTZg==" saltValue="pwgTZlE9KFvXdaTrCk7tgw==" spinCount="100000" sheet="1" objects="1" scenarios="1"/>
  <mergeCells count="124"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FBE5-3BD7-445B-AA88-DE543F07EC12}">
  <dimension ref="A1:P64"/>
  <sheetViews>
    <sheetView workbookViewId="0">
      <selection activeCell="J3" sqref="J3"/>
    </sheetView>
  </sheetViews>
  <sheetFormatPr defaultRowHeight="14.4" x14ac:dyDescent="0.3"/>
  <cols>
    <col min="3" max="3" width="10.5546875" customWidth="1"/>
    <col min="4" max="4" width="10.5546875" bestFit="1" customWidth="1"/>
    <col min="5" max="5" width="12.5546875" bestFit="1" customWidth="1"/>
    <col min="6" max="6" width="14.44140625" customWidth="1"/>
    <col min="7" max="7" width="13.6640625" customWidth="1"/>
    <col min="12" max="12" width="18.6640625" customWidth="1"/>
    <col min="13" max="13" width="18.109375" customWidth="1"/>
    <col min="14" max="14" width="18.44140625" customWidth="1"/>
    <col min="15" max="15" width="18.33203125" customWidth="1"/>
  </cols>
  <sheetData>
    <row r="1" spans="1:15" ht="15" thickBot="1" x14ac:dyDescent="0.35">
      <c r="A1" s="114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4" t="s">
        <v>55</v>
      </c>
      <c r="M1" s="115"/>
      <c r="N1" s="116"/>
    </row>
    <row r="2" spans="1:15" ht="16.2" x14ac:dyDescent="0.35">
      <c r="A2" s="23" t="s">
        <v>31</v>
      </c>
      <c r="F2" s="140" t="s">
        <v>16</v>
      </c>
      <c r="G2" s="1" t="s">
        <v>9</v>
      </c>
      <c r="J2">
        <f>0.0005*1000</f>
        <v>0.5</v>
      </c>
      <c r="K2" s="24" t="s">
        <v>2</v>
      </c>
      <c r="L2" s="33" t="s">
        <v>56</v>
      </c>
      <c r="M2" s="34">
        <f>E32</f>
        <v>454.5454545454545</v>
      </c>
      <c r="N2" s="35" t="s">
        <v>20</v>
      </c>
    </row>
    <row r="3" spans="1:15" ht="16.2" x14ac:dyDescent="0.35">
      <c r="A3" s="25"/>
      <c r="B3" s="1" t="s">
        <v>32</v>
      </c>
      <c r="F3" s="141"/>
      <c r="G3" s="1" t="s">
        <v>10</v>
      </c>
      <c r="J3">
        <f>$D$4-$J$2</f>
        <v>4.5</v>
      </c>
      <c r="K3" s="24" t="s">
        <v>2</v>
      </c>
      <c r="L3" s="33" t="s">
        <v>27</v>
      </c>
      <c r="M3" s="34">
        <f>$E$34</f>
        <v>486.50917592684539</v>
      </c>
      <c r="N3" s="35" t="s">
        <v>20</v>
      </c>
    </row>
    <row r="4" spans="1:15" ht="16.2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41"/>
      <c r="G4" s="21" t="s">
        <v>11</v>
      </c>
      <c r="K4" s="26"/>
      <c r="L4" s="33" t="s">
        <v>26</v>
      </c>
      <c r="M4" s="34">
        <f>$J$34</f>
        <v>1.5829070317516141</v>
      </c>
      <c r="N4" s="35" t="s">
        <v>23</v>
      </c>
    </row>
    <row r="5" spans="1:15" ht="15.6" x14ac:dyDescent="0.35">
      <c r="A5" s="25"/>
      <c r="C5" t="s">
        <v>7</v>
      </c>
      <c r="D5" s="22">
        <f>'RTD Data'!$F$8</f>
        <v>5000</v>
      </c>
      <c r="E5" s="20" t="s">
        <v>0</v>
      </c>
      <c r="F5" s="141"/>
      <c r="G5" s="1"/>
      <c r="H5" s="143" t="s">
        <v>12</v>
      </c>
      <c r="I5" s="143"/>
      <c r="J5">
        <f>$J$3/2</f>
        <v>2.25</v>
      </c>
      <c r="K5" s="24" t="s">
        <v>2</v>
      </c>
      <c r="L5" s="33" t="s">
        <v>42</v>
      </c>
      <c r="M5" s="36">
        <f>'RTD Data'!S4</f>
        <v>280</v>
      </c>
      <c r="N5" s="37" t="s">
        <v>21</v>
      </c>
    </row>
    <row r="6" spans="1:15" ht="15.6" x14ac:dyDescent="0.35">
      <c r="A6" s="25"/>
      <c r="C6" t="s">
        <v>8</v>
      </c>
      <c r="D6" s="22">
        <f>'RTD Data'!$F$7</f>
        <v>5000</v>
      </c>
      <c r="E6" s="20" t="s">
        <v>0</v>
      </c>
      <c r="F6" s="141"/>
      <c r="H6" s="144" t="s">
        <v>13</v>
      </c>
      <c r="I6" s="144"/>
      <c r="J6" s="22">
        <f>J5/0.0005</f>
        <v>4500</v>
      </c>
      <c r="K6" s="24" t="s">
        <v>0</v>
      </c>
      <c r="L6" s="33" t="s">
        <v>46</v>
      </c>
      <c r="M6" s="34">
        <f>VLOOKUP(M5,'PT1000 Tables'!12:64,5)</f>
        <v>850.27803137189801</v>
      </c>
      <c r="N6" s="35" t="s">
        <v>20</v>
      </c>
    </row>
    <row r="7" spans="1:15" ht="16.2" x14ac:dyDescent="0.35">
      <c r="A7" s="23" t="s">
        <v>39</v>
      </c>
      <c r="D7" s="22"/>
      <c r="E7" s="20"/>
      <c r="F7" s="141"/>
      <c r="H7" s="144" t="s">
        <v>14</v>
      </c>
      <c r="I7" s="144"/>
      <c r="J7" s="22">
        <f>J6</f>
        <v>4500</v>
      </c>
      <c r="K7" s="24" t="s">
        <v>0</v>
      </c>
      <c r="L7" s="18" t="s">
        <v>43</v>
      </c>
      <c r="M7" s="34">
        <f>VLOOKUP(M5-10,12:64,10)</f>
        <v>1.2455644920070768</v>
      </c>
      <c r="N7" s="35" t="s">
        <v>23</v>
      </c>
    </row>
    <row r="8" spans="1:15" ht="16.2" thickBot="1" x14ac:dyDescent="0.4">
      <c r="A8" s="27" t="s">
        <v>34</v>
      </c>
      <c r="B8" s="28"/>
      <c r="C8" s="29"/>
      <c r="D8" s="30"/>
      <c r="E8" s="31"/>
      <c r="F8" s="142"/>
      <c r="G8" s="29"/>
      <c r="H8" s="29"/>
      <c r="I8" s="29"/>
      <c r="J8" s="29"/>
      <c r="K8" s="32"/>
      <c r="L8" s="38"/>
      <c r="M8" s="29"/>
      <c r="N8" s="32"/>
    </row>
    <row r="9" spans="1:15" ht="15" thickBot="1" x14ac:dyDescent="0.35"/>
    <row r="10" spans="1:15" ht="15" customHeight="1" x14ac:dyDescent="0.3">
      <c r="A10" s="112" t="s">
        <v>1</v>
      </c>
      <c r="B10" s="112" t="s">
        <v>28</v>
      </c>
      <c r="C10" s="129" t="s">
        <v>29</v>
      </c>
      <c r="D10" s="129" t="s">
        <v>30</v>
      </c>
      <c r="E10" s="129" t="s">
        <v>24</v>
      </c>
      <c r="F10" s="129" t="s">
        <v>37</v>
      </c>
      <c r="G10" s="129" t="s">
        <v>38</v>
      </c>
      <c r="H10" s="131" t="s">
        <v>33</v>
      </c>
      <c r="I10" s="137"/>
      <c r="J10" s="131" t="s">
        <v>35</v>
      </c>
      <c r="K10" s="137"/>
      <c r="L10" s="131" t="s">
        <v>48</v>
      </c>
      <c r="M10" s="129" t="s">
        <v>40</v>
      </c>
      <c r="N10" s="19"/>
      <c r="O10" s="129" t="s">
        <v>49</v>
      </c>
    </row>
    <row r="11" spans="1:15" ht="16.2" thickBot="1" x14ac:dyDescent="0.4">
      <c r="A11" s="145"/>
      <c r="B11" s="113"/>
      <c r="C11" s="130"/>
      <c r="D11" s="130"/>
      <c r="E11" s="130"/>
      <c r="F11" s="130"/>
      <c r="G11" s="130"/>
      <c r="H11" s="132"/>
      <c r="I11" s="138"/>
      <c r="J11" s="132"/>
      <c r="K11" s="138"/>
      <c r="L11" s="132"/>
      <c r="M11" s="130"/>
      <c r="N11" s="16" t="s">
        <v>41</v>
      </c>
      <c r="O11" s="130"/>
    </row>
    <row r="12" spans="1:15" x14ac:dyDescent="0.3">
      <c r="A12" s="4">
        <v>-200</v>
      </c>
      <c r="B12" s="17">
        <f>'RTD Resistance @ Temperature'!L3</f>
        <v>185.2</v>
      </c>
      <c r="C12" s="9">
        <f>$D$4 / ($D$5 + $D$6 + B12)</f>
        <v>4.9090837686054274E-4</v>
      </c>
      <c r="D12" s="9">
        <f>C12*1000</f>
        <v>0.49090837686054273</v>
      </c>
      <c r="E12" s="9">
        <f>B12*D12</f>
        <v>90.916231394572506</v>
      </c>
      <c r="F12" s="9">
        <f>E13-E12</f>
        <v>20.685892125465045</v>
      </c>
      <c r="G12" s="9">
        <f>E12-$E$34</f>
        <v>-395.5929445322729</v>
      </c>
      <c r="H12" s="139">
        <f>F12/(A13-A12)</f>
        <v>2.0685892125465046</v>
      </c>
      <c r="I12" s="139"/>
      <c r="J12" s="139">
        <f>(E13-E12)/(A13-A12)</f>
        <v>2.0685892125465046</v>
      </c>
      <c r="K12" s="139"/>
      <c r="L12" s="40">
        <f>($E12-$M$2)/$M$4</f>
        <v>-229.72241316566584</v>
      </c>
      <c r="M12" s="8">
        <f>(L12-$A12)/$A12 * 100</f>
        <v>14.861206582832921</v>
      </c>
      <c r="N12" s="40">
        <f>($E12-$M$2)/$M$7</f>
        <v>-291.93929779174857</v>
      </c>
      <c r="O12" s="41">
        <f>(N12-$A12)/$A12 * 100</f>
        <v>45.969648895874286</v>
      </c>
    </row>
    <row r="13" spans="1:15" x14ac:dyDescent="0.3">
      <c r="A13" s="2">
        <v>-190</v>
      </c>
      <c r="B13" s="14">
        <f>'RTD Resistance @ Temperature'!L4</f>
        <v>228.29999999999998</v>
      </c>
      <c r="C13" s="10">
        <f t="shared" ref="C13:C64" si="0">$D$4 / ($D$5 + $D$6 + B13)</f>
        <v>4.8883978764799633E-4</v>
      </c>
      <c r="D13" s="10">
        <f t="shared" ref="D13:D64" si="1">C13*1000</f>
        <v>0.48883978764799635</v>
      </c>
      <c r="E13" s="10">
        <f t="shared" ref="E13:E64" si="2">B13*D13</f>
        <v>111.60212352003755</v>
      </c>
      <c r="F13" s="10">
        <f t="shared" ref="F13:F63" si="3">E13-E12</f>
        <v>20.685892125465045</v>
      </c>
      <c r="G13" s="10">
        <f t="shared" ref="G13:G64" si="4">E13-$E$34</f>
        <v>-374.90705240680785</v>
      </c>
      <c r="H13" s="133">
        <f>F13/(A13-A12)</f>
        <v>2.0685892125465046</v>
      </c>
      <c r="I13" s="133"/>
      <c r="J13" s="133">
        <f>(E14-E12)/(A14-A12)</f>
        <v>2.0504302762454762</v>
      </c>
      <c r="K13" s="133"/>
      <c r="L13" s="39">
        <f t="shared" ref="L13:L64" si="5">($E13-$M$2)/$M$4</f>
        <v>-216.65412064404222</v>
      </c>
      <c r="M13" s="6">
        <f t="shared" ref="M13:M64" si="6">(L13-$A13)/$A13 * 100</f>
        <v>14.028484549495907</v>
      </c>
      <c r="N13" s="39">
        <f t="shared" ref="N13:N64" si="7">($E13-$M$2)/$M$7</f>
        <v>-275.33165341989252</v>
      </c>
      <c r="O13" s="42">
        <f t="shared" ref="O13:O64" si="8">(N13-$A13)/$A13 * 100</f>
        <v>44.911396536785539</v>
      </c>
    </row>
    <row r="14" spans="1:15" x14ac:dyDescent="0.3">
      <c r="A14" s="2">
        <v>-180</v>
      </c>
      <c r="B14" s="14">
        <f>'RTD Resistance @ Temperature'!L5</f>
        <v>271</v>
      </c>
      <c r="C14" s="10">
        <f t="shared" si="0"/>
        <v>4.8680751630805178E-4</v>
      </c>
      <c r="D14" s="10">
        <f t="shared" si="1"/>
        <v>0.4868075163080518</v>
      </c>
      <c r="E14" s="10">
        <f t="shared" si="2"/>
        <v>131.92483691948203</v>
      </c>
      <c r="F14" s="10">
        <f t="shared" si="3"/>
        <v>20.322713399444481</v>
      </c>
      <c r="G14" s="10">
        <f t="shared" si="4"/>
        <v>-354.58433900736338</v>
      </c>
      <c r="H14" s="133">
        <f t="shared" ref="H14:H63" si="9">F14/(A14-A13)</f>
        <v>2.0322713399444483</v>
      </c>
      <c r="I14" s="133"/>
      <c r="J14" s="133">
        <f t="shared" ref="J14:J63" si="10">(E15-E13)/(A15-A13)</f>
        <v>2.0168065782789606</v>
      </c>
      <c r="K14" s="133"/>
      <c r="L14" s="39">
        <f t="shared" si="5"/>
        <v>-203.81526593445403</v>
      </c>
      <c r="M14" s="6">
        <f t="shared" si="6"/>
        <v>13.230703296918907</v>
      </c>
      <c r="N14" s="39">
        <f t="shared" si="7"/>
        <v>-259.0155866647325</v>
      </c>
      <c r="O14" s="42">
        <f t="shared" si="8"/>
        <v>43.897548147073607</v>
      </c>
    </row>
    <row r="15" spans="1:15" x14ac:dyDescent="0.3">
      <c r="A15" s="2">
        <v>-170</v>
      </c>
      <c r="B15" s="14">
        <f>'RTD Resistance @ Temperature'!L6</f>
        <v>313.39999999999998</v>
      </c>
      <c r="C15" s="10">
        <f t="shared" si="0"/>
        <v>4.8480617449143834E-4</v>
      </c>
      <c r="D15" s="10">
        <f t="shared" si="1"/>
        <v>0.48480617449143831</v>
      </c>
      <c r="E15" s="10">
        <f t="shared" si="2"/>
        <v>151.93825508561676</v>
      </c>
      <c r="F15" s="10">
        <f t="shared" si="3"/>
        <v>20.013418166134727</v>
      </c>
      <c r="G15" s="10">
        <f t="shared" si="4"/>
        <v>-334.5709208412286</v>
      </c>
      <c r="H15" s="133">
        <f t="shared" si="9"/>
        <v>2.0013418166134729</v>
      </c>
      <c r="I15" s="133"/>
      <c r="J15" s="133">
        <f t="shared" si="10"/>
        <v>1.9838226614326615</v>
      </c>
      <c r="K15" s="133"/>
      <c r="L15" s="39">
        <f t="shared" si="5"/>
        <v>-191.17180819203165</v>
      </c>
      <c r="M15" s="6">
        <f t="shared" si="6"/>
        <v>12.454004818842145</v>
      </c>
      <c r="N15" s="39">
        <f t="shared" si="7"/>
        <v>-242.9478372269771</v>
      </c>
      <c r="O15" s="42">
        <f t="shared" si="8"/>
        <v>42.910492486457116</v>
      </c>
    </row>
    <row r="16" spans="1:15" x14ac:dyDescent="0.3">
      <c r="A16" s="2">
        <v>-160</v>
      </c>
      <c r="B16" s="14">
        <f>'RTD Resistance @ Temperature'!L7</f>
        <v>355.4</v>
      </c>
      <c r="C16" s="10">
        <f t="shared" si="0"/>
        <v>4.8283987098518647E-4</v>
      </c>
      <c r="D16" s="10">
        <f t="shared" si="1"/>
        <v>0.48283987098518649</v>
      </c>
      <c r="E16" s="10">
        <f t="shared" si="2"/>
        <v>171.60129014813526</v>
      </c>
      <c r="F16" s="10">
        <f t="shared" si="3"/>
        <v>19.663035062518503</v>
      </c>
      <c r="G16" s="10">
        <f t="shared" si="4"/>
        <v>-314.90788577871012</v>
      </c>
      <c r="H16" s="133">
        <f t="shared" si="9"/>
        <v>1.9663035062518504</v>
      </c>
      <c r="I16" s="133"/>
      <c r="J16" s="133">
        <f t="shared" si="10"/>
        <v>1.9537354971714749</v>
      </c>
      <c r="K16" s="133"/>
      <c r="L16" s="39">
        <f t="shared" si="5"/>
        <v>-178.74970463945616</v>
      </c>
      <c r="M16" s="6">
        <f t="shared" si="6"/>
        <v>11.718565399660097</v>
      </c>
      <c r="N16" s="39">
        <f t="shared" si="7"/>
        <v>-227.16139245539097</v>
      </c>
      <c r="O16" s="42">
        <f t="shared" si="8"/>
        <v>41.975870284619354</v>
      </c>
    </row>
    <row r="17" spans="1:16" x14ac:dyDescent="0.3">
      <c r="A17" s="2">
        <v>-150</v>
      </c>
      <c r="B17" s="14">
        <f>'RTD Resistance @ Temperature'!L8</f>
        <v>397.2</v>
      </c>
      <c r="C17" s="10">
        <f t="shared" si="0"/>
        <v>4.8089870349709532E-4</v>
      </c>
      <c r="D17" s="10">
        <f t="shared" si="1"/>
        <v>0.48089870349709535</v>
      </c>
      <c r="E17" s="10">
        <f t="shared" si="2"/>
        <v>191.01296502904626</v>
      </c>
      <c r="F17" s="10">
        <f t="shared" si="3"/>
        <v>19.411674880910994</v>
      </c>
      <c r="G17" s="10">
        <f t="shared" si="4"/>
        <v>-295.49621089779913</v>
      </c>
      <c r="H17" s="133">
        <f t="shared" si="9"/>
        <v>1.9411674880910994</v>
      </c>
      <c r="I17" s="133"/>
      <c r="J17" s="133">
        <f t="shared" si="10"/>
        <v>1.9288062440206049</v>
      </c>
      <c r="K17" s="133"/>
      <c r="L17" s="39">
        <f t="shared" si="5"/>
        <v>-166.48639764066772</v>
      </c>
      <c r="M17" s="6">
        <f t="shared" si="6"/>
        <v>10.990931760445145</v>
      </c>
      <c r="N17" s="39">
        <f t="shared" si="7"/>
        <v>-211.57675191250632</v>
      </c>
      <c r="O17" s="42">
        <f t="shared" si="8"/>
        <v>41.051167941670883</v>
      </c>
    </row>
    <row r="18" spans="1:16" x14ac:dyDescent="0.3">
      <c r="A18" s="2">
        <v>-140</v>
      </c>
      <c r="B18" s="14">
        <f>'RTD Resistance @ Temperature'!L9</f>
        <v>438.8</v>
      </c>
      <c r="C18" s="10">
        <f t="shared" si="0"/>
        <v>4.7898225849714532E-4</v>
      </c>
      <c r="D18" s="10">
        <f t="shared" si="1"/>
        <v>0.47898225849714532</v>
      </c>
      <c r="E18" s="10">
        <f t="shared" si="2"/>
        <v>210.17741502854736</v>
      </c>
      <c r="F18" s="10">
        <f t="shared" si="3"/>
        <v>19.164449999501102</v>
      </c>
      <c r="G18" s="10">
        <f t="shared" si="4"/>
        <v>-276.33176089829806</v>
      </c>
      <c r="H18" s="133">
        <f t="shared" si="9"/>
        <v>1.9164449999501101</v>
      </c>
      <c r="I18" s="133"/>
      <c r="J18" s="133">
        <f t="shared" si="10"/>
        <v>1.8997334279369995</v>
      </c>
      <c r="K18" s="133"/>
      <c r="L18" s="39">
        <f t="shared" si="5"/>
        <v>-154.37927472373045</v>
      </c>
      <c r="M18" s="6">
        <f t="shared" si="6"/>
        <v>10.27091051695032</v>
      </c>
      <c r="N18" s="39">
        <f t="shared" si="7"/>
        <v>-196.1905955773816</v>
      </c>
      <c r="O18" s="42">
        <f t="shared" si="8"/>
        <v>40.13613969812971</v>
      </c>
    </row>
    <row r="19" spans="1:16" x14ac:dyDescent="0.3">
      <c r="A19" s="2">
        <v>-130</v>
      </c>
      <c r="B19" s="14">
        <f>'RTD Resistance @ Temperature'!L10</f>
        <v>480</v>
      </c>
      <c r="C19" s="10">
        <f t="shared" si="0"/>
        <v>4.7709923664122136E-4</v>
      </c>
      <c r="D19" s="10">
        <f t="shared" si="1"/>
        <v>0.47709923664122134</v>
      </c>
      <c r="E19" s="10">
        <f t="shared" si="2"/>
        <v>229.00763358778624</v>
      </c>
      <c r="F19" s="10">
        <f t="shared" si="3"/>
        <v>18.830218559238887</v>
      </c>
      <c r="G19" s="10">
        <f t="shared" si="4"/>
        <v>-257.50154233905914</v>
      </c>
      <c r="H19" s="133">
        <f t="shared" si="9"/>
        <v>1.8830218559238887</v>
      </c>
      <c r="I19" s="133"/>
      <c r="J19" s="133">
        <f t="shared" si="10"/>
        <v>1.8733896586058036</v>
      </c>
      <c r="K19" s="133"/>
      <c r="L19" s="39">
        <f t="shared" si="5"/>
        <v>-142.48330219879844</v>
      </c>
      <c r="M19" s="6">
        <f t="shared" si="6"/>
        <v>9.6025401529218772</v>
      </c>
      <c r="N19" s="39">
        <f t="shared" si="7"/>
        <v>-181.07277656433615</v>
      </c>
      <c r="O19" s="42">
        <f t="shared" si="8"/>
        <v>39.286751203335498</v>
      </c>
    </row>
    <row r="20" spans="1:16" x14ac:dyDescent="0.3">
      <c r="A20" s="2">
        <v>-120</v>
      </c>
      <c r="B20" s="14">
        <f>'RTD Resistance @ Temperature'!L11</f>
        <v>521.1</v>
      </c>
      <c r="C20" s="10">
        <f t="shared" si="0"/>
        <v>4.7523547917993365E-4</v>
      </c>
      <c r="D20" s="10">
        <f t="shared" si="1"/>
        <v>0.47523547917993364</v>
      </c>
      <c r="E20" s="10">
        <f t="shared" si="2"/>
        <v>247.64520820066343</v>
      </c>
      <c r="F20" s="10">
        <f t="shared" si="3"/>
        <v>18.637574612877188</v>
      </c>
      <c r="G20" s="10">
        <f t="shared" si="4"/>
        <v>-238.86396772618195</v>
      </c>
      <c r="H20" s="133">
        <f t="shared" si="9"/>
        <v>1.8637574612877188</v>
      </c>
      <c r="I20" s="133"/>
      <c r="J20" s="133">
        <f t="shared" si="10"/>
        <v>1.8497821168973416</v>
      </c>
      <c r="K20" s="133"/>
      <c r="L20" s="39">
        <f t="shared" si="5"/>
        <v>-130.70903230231991</v>
      </c>
      <c r="M20" s="6">
        <f t="shared" si="6"/>
        <v>8.9241935852665932</v>
      </c>
      <c r="N20" s="39">
        <f t="shared" si="7"/>
        <v>-166.10962151899201</v>
      </c>
      <c r="O20" s="42">
        <f t="shared" si="8"/>
        <v>38.424684599160017</v>
      </c>
    </row>
    <row r="21" spans="1:16" x14ac:dyDescent="0.3">
      <c r="A21" s="2">
        <v>-110</v>
      </c>
      <c r="B21" s="14">
        <f>'RTD Resistance @ Temperature'!L12</f>
        <v>561.9</v>
      </c>
      <c r="C21" s="10">
        <f t="shared" si="0"/>
        <v>4.7339967240742672E-4</v>
      </c>
      <c r="D21" s="10">
        <f t="shared" si="1"/>
        <v>0.4733996724074267</v>
      </c>
      <c r="E21" s="10">
        <f t="shared" si="2"/>
        <v>266.00327592573308</v>
      </c>
      <c r="F21" s="10">
        <f t="shared" si="3"/>
        <v>18.358067725069645</v>
      </c>
      <c r="G21" s="10">
        <f t="shared" si="4"/>
        <v>-220.50590000111231</v>
      </c>
      <c r="H21" s="133">
        <f t="shared" si="9"/>
        <v>1.8358067725069644</v>
      </c>
      <c r="I21" s="133"/>
      <c r="J21" s="133">
        <f t="shared" si="10"/>
        <v>1.8265185687078911</v>
      </c>
      <c r="K21" s="133"/>
      <c r="L21" s="39">
        <f t="shared" si="5"/>
        <v>-119.1113406142901</v>
      </c>
      <c r="M21" s="6">
        <f t="shared" si="6"/>
        <v>8.2830369220819087</v>
      </c>
      <c r="N21" s="39">
        <f t="shared" si="7"/>
        <v>-151.37086825260127</v>
      </c>
      <c r="O21" s="42">
        <f t="shared" si="8"/>
        <v>37.609880229637518</v>
      </c>
    </row>
    <row r="22" spans="1:16" x14ac:dyDescent="0.3">
      <c r="A22" s="2">
        <v>-100</v>
      </c>
      <c r="B22" s="14">
        <f>'RTD Resistance @ Temperature'!L13</f>
        <v>602.6</v>
      </c>
      <c r="C22" s="10">
        <f t="shared" si="0"/>
        <v>4.7158244204251784E-4</v>
      </c>
      <c r="D22" s="10">
        <f t="shared" si="1"/>
        <v>0.47158244204251781</v>
      </c>
      <c r="E22" s="10">
        <f t="shared" si="2"/>
        <v>284.17557957482126</v>
      </c>
      <c r="F22" s="10">
        <f t="shared" si="3"/>
        <v>18.172303649088178</v>
      </c>
      <c r="G22" s="10">
        <f t="shared" si="4"/>
        <v>-202.33359635202413</v>
      </c>
      <c r="H22" s="133">
        <f t="shared" si="9"/>
        <v>1.8172303649088177</v>
      </c>
      <c r="I22" s="133"/>
      <c r="J22" s="133">
        <f t="shared" si="10"/>
        <v>1.8036603134568394</v>
      </c>
      <c r="K22" s="133"/>
      <c r="L22" s="39">
        <f t="shared" si="5"/>
        <v>-107.63100520319584</v>
      </c>
      <c r="M22" s="6">
        <f t="shared" si="6"/>
        <v>7.6310052031958415</v>
      </c>
      <c r="N22" s="39">
        <f t="shared" si="7"/>
        <v>-136.78125545799944</v>
      </c>
      <c r="O22" s="42">
        <f t="shared" si="8"/>
        <v>36.781255457999436</v>
      </c>
    </row>
    <row r="23" spans="1:16" x14ac:dyDescent="0.3">
      <c r="A23" s="2">
        <v>-90</v>
      </c>
      <c r="B23" s="14">
        <f>'RTD Resistance @ Temperature'!L14</f>
        <v>643</v>
      </c>
      <c r="C23" s="10">
        <f t="shared" si="0"/>
        <v>4.6979235178051299E-4</v>
      </c>
      <c r="D23" s="10">
        <f t="shared" si="1"/>
        <v>0.46979235178051298</v>
      </c>
      <c r="E23" s="10">
        <f t="shared" si="2"/>
        <v>302.07648219486987</v>
      </c>
      <c r="F23" s="10">
        <f t="shared" si="3"/>
        <v>17.900902620048612</v>
      </c>
      <c r="G23" s="10">
        <f t="shared" si="4"/>
        <v>-184.43269373197552</v>
      </c>
      <c r="H23" s="133">
        <f t="shared" si="9"/>
        <v>1.7900902620048611</v>
      </c>
      <c r="I23" s="133"/>
      <c r="J23" s="133">
        <f t="shared" si="10"/>
        <v>1.7811305061559266</v>
      </c>
      <c r="K23" s="133"/>
      <c r="L23" s="39">
        <f t="shared" si="5"/>
        <v>-96.322127132043533</v>
      </c>
      <c r="M23" s="6">
        <f t="shared" si="6"/>
        <v>7.0245857022705929</v>
      </c>
      <c r="N23" s="39">
        <f t="shared" si="7"/>
        <v>-122.40953666309105</v>
      </c>
      <c r="O23" s="42">
        <f t="shared" si="8"/>
        <v>36.010596292323385</v>
      </c>
    </row>
    <row r="24" spans="1:16" x14ac:dyDescent="0.3">
      <c r="A24" s="2">
        <v>-80</v>
      </c>
      <c r="B24" s="14">
        <f>'RTD Resistance @ Temperature'!L15</f>
        <v>683.3</v>
      </c>
      <c r="C24" s="10">
        <f t="shared" si="0"/>
        <v>4.6802018103020605E-4</v>
      </c>
      <c r="D24" s="10">
        <f t="shared" si="1"/>
        <v>0.46802018103020604</v>
      </c>
      <c r="E24" s="10">
        <f t="shared" si="2"/>
        <v>319.79818969793979</v>
      </c>
      <c r="F24" s="10">
        <f t="shared" si="3"/>
        <v>17.721707503069922</v>
      </c>
      <c r="G24" s="10">
        <f t="shared" si="4"/>
        <v>-166.7109862289056</v>
      </c>
      <c r="H24" s="133">
        <f t="shared" si="9"/>
        <v>1.7721707503069921</v>
      </c>
      <c r="I24" s="133"/>
      <c r="J24" s="133">
        <f t="shared" si="10"/>
        <v>1.7589886437931965</v>
      </c>
      <c r="K24" s="133"/>
      <c r="L24" s="39">
        <f t="shared" si="5"/>
        <v>-85.1264554042735</v>
      </c>
      <c r="M24" s="6">
        <f t="shared" si="6"/>
        <v>6.408069255341875</v>
      </c>
      <c r="N24" s="39">
        <f t="shared" si="7"/>
        <v>-108.18168445889604</v>
      </c>
      <c r="O24" s="42">
        <f t="shared" si="8"/>
        <v>35.227105573620051</v>
      </c>
    </row>
    <row r="25" spans="1:16" x14ac:dyDescent="0.3">
      <c r="A25" s="2">
        <v>-70</v>
      </c>
      <c r="B25" s="14">
        <f>'RTD Resistance @ Temperature'!L16</f>
        <v>723.3</v>
      </c>
      <c r="C25" s="10">
        <f t="shared" si="0"/>
        <v>4.6627437449292666E-4</v>
      </c>
      <c r="D25" s="10">
        <f t="shared" si="1"/>
        <v>0.46627437449292664</v>
      </c>
      <c r="E25" s="10">
        <f t="shared" si="2"/>
        <v>337.2562550707338</v>
      </c>
      <c r="F25" s="10">
        <f t="shared" si="3"/>
        <v>17.45806537279401</v>
      </c>
      <c r="G25" s="10">
        <f t="shared" si="4"/>
        <v>-149.25292085611159</v>
      </c>
      <c r="H25" s="133">
        <f t="shared" si="9"/>
        <v>1.7458065372794009</v>
      </c>
      <c r="I25" s="133"/>
      <c r="J25" s="133">
        <f t="shared" si="10"/>
        <v>1.7393185399652737</v>
      </c>
      <c r="K25" s="133"/>
      <c r="L25" s="39">
        <f t="shared" si="5"/>
        <v>-74.097339339588856</v>
      </c>
      <c r="M25" s="6">
        <f t="shared" si="6"/>
        <v>5.8533419136983662</v>
      </c>
      <c r="N25" s="39">
        <f t="shared" si="7"/>
        <v>-94.165497031569458</v>
      </c>
      <c r="O25" s="42">
        <f t="shared" si="8"/>
        <v>34.522138616527798</v>
      </c>
    </row>
    <row r="26" spans="1:16" x14ac:dyDescent="0.3">
      <c r="A26" s="2">
        <v>-60</v>
      </c>
      <c r="B26" s="14">
        <f>'RTD Resistance @ Temperature'!L17</f>
        <v>763.3</v>
      </c>
      <c r="C26" s="10">
        <f t="shared" si="0"/>
        <v>4.6454154395027551E-4</v>
      </c>
      <c r="D26" s="10">
        <f t="shared" si="1"/>
        <v>0.46454154395027553</v>
      </c>
      <c r="E26" s="10">
        <f t="shared" si="2"/>
        <v>354.58456049724526</v>
      </c>
      <c r="F26" s="10">
        <f t="shared" si="3"/>
        <v>17.328305426511463</v>
      </c>
      <c r="G26" s="10">
        <f t="shared" si="4"/>
        <v>-131.92461542960012</v>
      </c>
      <c r="H26" s="133">
        <f t="shared" si="9"/>
        <v>1.7328305426511463</v>
      </c>
      <c r="I26" s="133"/>
      <c r="J26" s="133">
        <f t="shared" si="10"/>
        <v>1.7221304572083738</v>
      </c>
      <c r="K26" s="133"/>
      <c r="L26" s="39">
        <f t="shared" si="5"/>
        <v>-63.150198996585708</v>
      </c>
      <c r="M26" s="6">
        <f t="shared" si="6"/>
        <v>5.2503316609761796</v>
      </c>
      <c r="N26" s="39">
        <f t="shared" si="7"/>
        <v>-80.253487225807419</v>
      </c>
      <c r="O26" s="42">
        <f t="shared" si="8"/>
        <v>33.755812043012362</v>
      </c>
    </row>
    <row r="27" spans="1:16" x14ac:dyDescent="0.3">
      <c r="A27" s="2">
        <v>-50</v>
      </c>
      <c r="B27" s="14">
        <f>'RTD Resistance @ Temperature'!L18</f>
        <v>803.1</v>
      </c>
      <c r="C27" s="10">
        <f t="shared" si="0"/>
        <v>4.6283011357850984E-4</v>
      </c>
      <c r="D27" s="10">
        <f t="shared" si="1"/>
        <v>0.46283011357850984</v>
      </c>
      <c r="E27" s="10">
        <f t="shared" si="2"/>
        <v>371.69886421490128</v>
      </c>
      <c r="F27" s="10">
        <f t="shared" si="3"/>
        <v>17.114303717656014</v>
      </c>
      <c r="G27" s="10">
        <f t="shared" si="4"/>
        <v>-114.81031171194411</v>
      </c>
      <c r="H27" s="133">
        <f t="shared" si="9"/>
        <v>1.7114303717656014</v>
      </c>
      <c r="I27" s="133"/>
      <c r="J27" s="133">
        <f t="shared" si="10"/>
        <v>1.700895468363592</v>
      </c>
      <c r="K27" s="133"/>
      <c r="L27" s="39">
        <f t="shared" si="5"/>
        <v>-52.338254028018817</v>
      </c>
      <c r="M27" s="6">
        <f t="shared" si="6"/>
        <v>4.6765080560376333</v>
      </c>
      <c r="N27" s="39">
        <f t="shared" si="7"/>
        <v>-66.513288442460293</v>
      </c>
      <c r="O27" s="42">
        <f t="shared" si="8"/>
        <v>33.026576884920587</v>
      </c>
    </row>
    <row r="28" spans="1:16" x14ac:dyDescent="0.3">
      <c r="A28" s="2">
        <v>-40</v>
      </c>
      <c r="B28" s="14">
        <f>'RTD Resistance @ Temperature'!L19</f>
        <v>842.69999999999993</v>
      </c>
      <c r="C28" s="10">
        <f t="shared" si="0"/>
        <v>4.6113975301354828E-4</v>
      </c>
      <c r="D28" s="10">
        <f t="shared" si="1"/>
        <v>0.46113975301354826</v>
      </c>
      <c r="E28" s="10">
        <f t="shared" si="2"/>
        <v>388.6024698645171</v>
      </c>
      <c r="F28" s="10">
        <f t="shared" si="3"/>
        <v>16.903605649615827</v>
      </c>
      <c r="G28" s="10">
        <f t="shared" si="4"/>
        <v>-97.906706062328283</v>
      </c>
      <c r="H28" s="133">
        <f t="shared" si="9"/>
        <v>1.6903605649615827</v>
      </c>
      <c r="I28" s="133"/>
      <c r="J28" s="133">
        <f t="shared" si="10"/>
        <v>1.6820983801097271</v>
      </c>
      <c r="K28" s="133"/>
      <c r="L28" s="39">
        <f t="shared" si="5"/>
        <v>-41.659417361969879</v>
      </c>
      <c r="M28" s="6">
        <f t="shared" si="6"/>
        <v>4.1485434049246983</v>
      </c>
      <c r="N28" s="39">
        <f t="shared" si="7"/>
        <v>-52.942248357351808</v>
      </c>
      <c r="O28" s="42">
        <f t="shared" si="8"/>
        <v>32.355620893379523</v>
      </c>
    </row>
    <row r="29" spans="1:16" x14ac:dyDescent="0.3">
      <c r="A29" s="2">
        <v>-30</v>
      </c>
      <c r="B29" s="14">
        <f>'RTD Resistance @ Temperature'!L20</f>
        <v>882.2</v>
      </c>
      <c r="C29" s="10">
        <f t="shared" si="0"/>
        <v>4.5946591681829039E-4</v>
      </c>
      <c r="D29" s="10">
        <f t="shared" si="1"/>
        <v>0.45946591681829041</v>
      </c>
      <c r="E29" s="10">
        <f t="shared" si="2"/>
        <v>405.34083181709582</v>
      </c>
      <c r="F29" s="10">
        <f t="shared" si="3"/>
        <v>16.738361952578714</v>
      </c>
      <c r="G29" s="10">
        <f t="shared" si="4"/>
        <v>-81.168344109749569</v>
      </c>
      <c r="H29" s="133">
        <f t="shared" si="9"/>
        <v>1.6738361952578713</v>
      </c>
      <c r="I29" s="133"/>
      <c r="J29" s="133">
        <f t="shared" si="10"/>
        <v>1.6656866444829035</v>
      </c>
      <c r="K29" s="133"/>
      <c r="L29" s="39">
        <f t="shared" si="5"/>
        <v>-31.084973243128378</v>
      </c>
      <c r="M29" s="6">
        <f t="shared" si="6"/>
        <v>3.6165774770945922</v>
      </c>
      <c r="N29" s="39">
        <f t="shared" si="7"/>
        <v>-39.503873981724844</v>
      </c>
      <c r="O29" s="42">
        <f t="shared" si="8"/>
        <v>31.679579939082814</v>
      </c>
    </row>
    <row r="30" spans="1:16" x14ac:dyDescent="0.3">
      <c r="A30" s="2">
        <v>-20</v>
      </c>
      <c r="B30" s="14">
        <f>'RTD Resistance @ Temperature'!L21</f>
        <v>921.59999999999991</v>
      </c>
      <c r="C30" s="10">
        <f t="shared" si="0"/>
        <v>4.5780837972458248E-4</v>
      </c>
      <c r="D30" s="10">
        <f t="shared" si="1"/>
        <v>0.45780837972458249</v>
      </c>
      <c r="E30" s="10">
        <f t="shared" si="2"/>
        <v>421.91620275417517</v>
      </c>
      <c r="F30" s="10">
        <f t="shared" si="3"/>
        <v>16.575370937079356</v>
      </c>
      <c r="G30" s="10">
        <f t="shared" si="4"/>
        <v>-64.592973172670213</v>
      </c>
      <c r="H30" s="133">
        <f t="shared" si="9"/>
        <v>1.6575370937079357</v>
      </c>
      <c r="I30" s="133"/>
      <c r="J30" s="133">
        <f t="shared" si="10"/>
        <v>1.6494981093523109</v>
      </c>
      <c r="K30" s="133"/>
      <c r="L30" s="39">
        <f t="shared" si="5"/>
        <v>-20.613498542092163</v>
      </c>
      <c r="M30" s="6">
        <f t="shared" si="6"/>
        <v>3.0674927104608152</v>
      </c>
      <c r="N30" s="39">
        <f t="shared" si="7"/>
        <v>-26.196356752833594</v>
      </c>
      <c r="O30" s="42">
        <f t="shared" si="8"/>
        <v>30.981783764167968</v>
      </c>
    </row>
    <row r="31" spans="1:16" x14ac:dyDescent="0.3">
      <c r="A31" s="2">
        <v>-10</v>
      </c>
      <c r="B31" s="14">
        <f>'RTD Resistance @ Temperature'!L22</f>
        <v>960.90000000000009</v>
      </c>
      <c r="C31" s="10">
        <f t="shared" si="0"/>
        <v>4.561669205995858E-4</v>
      </c>
      <c r="D31" s="10">
        <f t="shared" si="1"/>
        <v>0.4561669205995858</v>
      </c>
      <c r="E31" s="10">
        <f t="shared" si="2"/>
        <v>438.33079400414204</v>
      </c>
      <c r="F31" s="10">
        <f t="shared" si="3"/>
        <v>16.414591249966861</v>
      </c>
      <c r="G31" s="10">
        <f t="shared" si="4"/>
        <v>-48.178381922703352</v>
      </c>
      <c r="H31" s="133">
        <f t="shared" si="9"/>
        <v>1.6414591249966861</v>
      </c>
      <c r="I31" s="133"/>
      <c r="J31" s="133">
        <f t="shared" si="10"/>
        <v>1.6314625895639665</v>
      </c>
      <c r="K31" s="133"/>
      <c r="L31" s="39">
        <f t="shared" si="5"/>
        <v>-10.243596254272521</v>
      </c>
      <c r="M31" s="6">
        <f t="shared" si="6"/>
        <v>2.4359625427252141</v>
      </c>
      <c r="N31" s="39">
        <f t="shared" si="7"/>
        <v>-13.017921308261206</v>
      </c>
      <c r="O31" s="42">
        <f t="shared" si="8"/>
        <v>30.179213082612062</v>
      </c>
    </row>
    <row r="32" spans="1:16" x14ac:dyDescent="0.3">
      <c r="A32" s="12">
        <v>0</v>
      </c>
      <c r="B32" s="51">
        <f>'RTD Resistance @ Temperature'!L23</f>
        <v>1000</v>
      </c>
      <c r="C32" s="52">
        <f t="shared" si="0"/>
        <v>4.5454545454545455E-4</v>
      </c>
      <c r="D32" s="52">
        <f t="shared" si="1"/>
        <v>0.45454545454545453</v>
      </c>
      <c r="E32" s="52">
        <f t="shared" si="2"/>
        <v>454.5454545454545</v>
      </c>
      <c r="F32" s="52">
        <f t="shared" si="3"/>
        <v>16.214660541312469</v>
      </c>
      <c r="G32" s="52">
        <f t="shared" si="4"/>
        <v>-31.963721381390883</v>
      </c>
      <c r="H32" s="135">
        <f t="shared" si="9"/>
        <v>1.6214660541312469</v>
      </c>
      <c r="I32" s="135"/>
      <c r="J32" s="135">
        <f>(E33-E31)/(A33-A31)</f>
        <v>1.6136713696361795</v>
      </c>
      <c r="K32" s="135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67</v>
      </c>
    </row>
    <row r="33" spans="1:16" x14ac:dyDescent="0.3">
      <c r="A33" s="12">
        <v>10</v>
      </c>
      <c r="B33" s="14">
        <f>'RTD Resistance @ Temperature'!L24</f>
        <v>1039</v>
      </c>
      <c r="C33" s="10">
        <f t="shared" si="0"/>
        <v>4.5293957786031344E-4</v>
      </c>
      <c r="D33" s="10">
        <f t="shared" si="1"/>
        <v>0.45293957786031341</v>
      </c>
      <c r="E33" s="10">
        <f t="shared" si="2"/>
        <v>470.60422139686563</v>
      </c>
      <c r="F33" s="10">
        <f t="shared" si="3"/>
        <v>16.058766851411121</v>
      </c>
      <c r="G33" s="10">
        <f t="shared" si="4"/>
        <v>-15.904954529979761</v>
      </c>
      <c r="H33" s="133">
        <f t="shared" si="9"/>
        <v>1.6058766851411121</v>
      </c>
      <c r="I33" s="133"/>
      <c r="J33" s="133">
        <f t="shared" si="10"/>
        <v>1.5981860690695442</v>
      </c>
      <c r="K33" s="133"/>
      <c r="L33" s="39">
        <f t="shared" si="5"/>
        <v>10.145110565110576</v>
      </c>
      <c r="M33" s="6">
        <f t="shared" si="6"/>
        <v>1.4511056511057596</v>
      </c>
      <c r="N33" s="39">
        <f t="shared" si="7"/>
        <v>12.892762241105924</v>
      </c>
      <c r="O33" s="42">
        <f t="shared" si="8"/>
        <v>28.927622411059239</v>
      </c>
    </row>
    <row r="34" spans="1:16" x14ac:dyDescent="0.3">
      <c r="A34" s="12">
        <v>20</v>
      </c>
      <c r="B34" s="46">
        <f>'RTD Resistance @ Temperature'!L25</f>
        <v>1077.9000000000001</v>
      </c>
      <c r="C34" s="47">
        <f>$D$4 / ($D$5 + $D$6 + B34)</f>
        <v>4.5134908240731549E-4</v>
      </c>
      <c r="D34" s="47">
        <f t="shared" si="1"/>
        <v>0.45134908240731547</v>
      </c>
      <c r="E34" s="47">
        <f t="shared" si="2"/>
        <v>486.50917592684539</v>
      </c>
      <c r="F34" s="47">
        <f>E34-E33</f>
        <v>15.904954529979761</v>
      </c>
      <c r="G34" s="47">
        <f t="shared" si="4"/>
        <v>0</v>
      </c>
      <c r="H34" s="136">
        <f t="shared" si="9"/>
        <v>1.5904954529979762</v>
      </c>
      <c r="I34" s="136"/>
      <c r="J34" s="136">
        <f t="shared" si="10"/>
        <v>1.5829070317516141</v>
      </c>
      <c r="K34" s="136"/>
      <c r="L34" s="48">
        <f t="shared" si="5"/>
        <v>20.193050343595008</v>
      </c>
      <c r="M34" s="49">
        <f t="shared" si="6"/>
        <v>0.96525171797503984</v>
      </c>
      <c r="N34" s="48">
        <f t="shared" si="7"/>
        <v>25.662036439305687</v>
      </c>
      <c r="O34" s="50">
        <f t="shared" si="8"/>
        <v>28.310182196528437</v>
      </c>
      <c r="P34" s="1" t="s">
        <v>66</v>
      </c>
    </row>
    <row r="35" spans="1:16" x14ac:dyDescent="0.3">
      <c r="A35" s="12">
        <v>30</v>
      </c>
      <c r="B35" s="14">
        <f>'RTD Resistance @ Temperature'!L26</f>
        <v>1116.7</v>
      </c>
      <c r="C35" s="10">
        <f t="shared" si="0"/>
        <v>4.4977376379681019E-4</v>
      </c>
      <c r="D35" s="10">
        <f t="shared" si="1"/>
        <v>0.44977376379681017</v>
      </c>
      <c r="E35" s="10">
        <f t="shared" si="2"/>
        <v>502.26236203189791</v>
      </c>
      <c r="F35" s="10">
        <f t="shared" si="3"/>
        <v>15.753186105052521</v>
      </c>
      <c r="G35" s="10">
        <f t="shared" si="4"/>
        <v>15.753186105052521</v>
      </c>
      <c r="H35" s="133">
        <f t="shared" si="9"/>
        <v>1.5753186105052521</v>
      </c>
      <c r="I35" s="133"/>
      <c r="J35" s="133">
        <f t="shared" si="10"/>
        <v>1.5678305523139897</v>
      </c>
      <c r="K35" s="133"/>
      <c r="L35" s="39">
        <f t="shared" si="5"/>
        <v>30.145110565110578</v>
      </c>
      <c r="M35" s="6">
        <f t="shared" si="6"/>
        <v>0.48370188370192579</v>
      </c>
      <c r="N35" s="39">
        <f t="shared" si="7"/>
        <v>38.309463534524312</v>
      </c>
      <c r="O35" s="42">
        <f t="shared" si="8"/>
        <v>27.698211781747705</v>
      </c>
    </row>
    <row r="36" spans="1:16" x14ac:dyDescent="0.3">
      <c r="A36" s="12">
        <v>40</v>
      </c>
      <c r="B36" s="14">
        <f>'RTD Resistance @ Temperature'!L27</f>
        <v>1155.4000000000001</v>
      </c>
      <c r="C36" s="10">
        <f t="shared" si="0"/>
        <v>4.4821342130268749E-4</v>
      </c>
      <c r="D36" s="10">
        <f t="shared" si="1"/>
        <v>0.44821342130268749</v>
      </c>
      <c r="E36" s="10">
        <f t="shared" si="2"/>
        <v>517.86578697312518</v>
      </c>
      <c r="F36" s="10">
        <f t="shared" si="3"/>
        <v>15.603424941227274</v>
      </c>
      <c r="G36" s="10">
        <f t="shared" si="4"/>
        <v>31.356611046279795</v>
      </c>
      <c r="H36" s="133">
        <f t="shared" si="9"/>
        <v>1.5603424941227275</v>
      </c>
      <c r="I36" s="133"/>
      <c r="J36" s="133">
        <f t="shared" si="10"/>
        <v>1.5529530079280647</v>
      </c>
      <c r="K36" s="133"/>
      <c r="L36" s="39">
        <f t="shared" si="5"/>
        <v>40.002559314934395</v>
      </c>
      <c r="M36" s="6">
        <f t="shared" si="6"/>
        <v>6.3982873359869066E-3</v>
      </c>
      <c r="N36" s="39">
        <f t="shared" si="7"/>
        <v>50.836655053996928</v>
      </c>
      <c r="O36" s="42">
        <f t="shared" si="8"/>
        <v>27.09163763499232</v>
      </c>
    </row>
    <row r="37" spans="1:16" x14ac:dyDescent="0.3">
      <c r="A37" s="12">
        <v>50</v>
      </c>
      <c r="B37" s="14">
        <f>'RTD Resistance @ Temperature'!L28</f>
        <v>1194</v>
      </c>
      <c r="C37" s="10">
        <f t="shared" si="0"/>
        <v>4.4666785778095411E-4</v>
      </c>
      <c r="D37" s="10">
        <f t="shared" si="1"/>
        <v>0.44666785778095408</v>
      </c>
      <c r="E37" s="10">
        <f t="shared" si="2"/>
        <v>533.3214221904592</v>
      </c>
      <c r="F37" s="10">
        <f t="shared" si="3"/>
        <v>15.45563521733402</v>
      </c>
      <c r="G37" s="10">
        <f t="shared" si="4"/>
        <v>46.812246263613815</v>
      </c>
      <c r="H37" s="133">
        <f t="shared" si="9"/>
        <v>1.5455635217334021</v>
      </c>
      <c r="I37" s="133"/>
      <c r="J37" s="133">
        <f t="shared" si="10"/>
        <v>1.5362893700503377</v>
      </c>
      <c r="K37" s="133"/>
      <c r="L37" s="39">
        <f t="shared" si="5"/>
        <v>49.766642048353745</v>
      </c>
      <c r="M37" s="6">
        <f t="shared" si="6"/>
        <v>-0.46671590329250989</v>
      </c>
      <c r="N37" s="39">
        <f t="shared" si="7"/>
        <v>63.245193765974122</v>
      </c>
      <c r="O37" s="42">
        <f t="shared" si="8"/>
        <v>26.490387531948244</v>
      </c>
    </row>
    <row r="38" spans="1:16" x14ac:dyDescent="0.3">
      <c r="A38" s="12">
        <v>60</v>
      </c>
      <c r="B38" s="14">
        <f>'RTD Resistance @ Temperature'!L29</f>
        <v>1232.3999999999999</v>
      </c>
      <c r="C38" s="10">
        <f t="shared" si="0"/>
        <v>4.4514084256258682E-4</v>
      </c>
      <c r="D38" s="10">
        <f t="shared" si="1"/>
        <v>0.44514084256258685</v>
      </c>
      <c r="E38" s="10">
        <f t="shared" si="2"/>
        <v>548.59157437413194</v>
      </c>
      <c r="F38" s="10">
        <f t="shared" si="3"/>
        <v>15.270152183672735</v>
      </c>
      <c r="G38" s="10">
        <f t="shared" si="4"/>
        <v>62.08239844728655</v>
      </c>
      <c r="H38" s="133">
        <f t="shared" si="9"/>
        <v>1.5270152183672736</v>
      </c>
      <c r="I38" s="133"/>
      <c r="J38" s="133">
        <f t="shared" si="10"/>
        <v>1.5218126254381787</v>
      </c>
      <c r="K38" s="133"/>
      <c r="L38" s="39">
        <f t="shared" si="5"/>
        <v>59.413546053053935</v>
      </c>
      <c r="M38" s="6">
        <f t="shared" si="6"/>
        <v>-0.97742324491010868</v>
      </c>
      <c r="N38" s="39">
        <f t="shared" si="7"/>
        <v>75.504817640661443</v>
      </c>
      <c r="O38" s="42">
        <f t="shared" si="8"/>
        <v>25.841362734435741</v>
      </c>
    </row>
    <row r="39" spans="1:16" x14ac:dyDescent="0.3">
      <c r="A39" s="12">
        <v>70</v>
      </c>
      <c r="B39" s="14">
        <f>'RTD Resistance @ Temperature'!L30</f>
        <v>1270.8</v>
      </c>
      <c r="C39" s="10">
        <f t="shared" si="0"/>
        <v>4.4362423253007776E-4</v>
      </c>
      <c r="D39" s="10">
        <f t="shared" si="1"/>
        <v>0.44362423253007777</v>
      </c>
      <c r="E39" s="10">
        <f t="shared" si="2"/>
        <v>563.75767469922278</v>
      </c>
      <c r="F39" s="10">
        <f t="shared" si="3"/>
        <v>15.166100325090838</v>
      </c>
      <c r="G39" s="10">
        <f t="shared" si="4"/>
        <v>77.248498772377388</v>
      </c>
      <c r="H39" s="133">
        <f t="shared" si="9"/>
        <v>1.5166100325090839</v>
      </c>
      <c r="I39" s="133"/>
      <c r="J39" s="133">
        <f t="shared" si="10"/>
        <v>1.5075510009856885</v>
      </c>
      <c r="K39" s="133"/>
      <c r="L39" s="39">
        <f t="shared" si="5"/>
        <v>68.994715395834817</v>
      </c>
      <c r="M39" s="6">
        <f t="shared" si="6"/>
        <v>-1.436120863093119</v>
      </c>
      <c r="N39" s="39">
        <f t="shared" si="7"/>
        <v>87.680903602017395</v>
      </c>
      <c r="O39" s="42">
        <f t="shared" si="8"/>
        <v>25.258433717167705</v>
      </c>
    </row>
    <row r="40" spans="1:16" x14ac:dyDescent="0.3">
      <c r="A40" s="12">
        <v>80</v>
      </c>
      <c r="B40" s="14">
        <f>'RTD Resistance @ Temperature'!L31</f>
        <v>1309</v>
      </c>
      <c r="C40" s="10">
        <f t="shared" si="0"/>
        <v>4.4212574056061546E-4</v>
      </c>
      <c r="D40" s="10">
        <f t="shared" si="1"/>
        <v>0.44212574056061549</v>
      </c>
      <c r="E40" s="10">
        <f t="shared" si="2"/>
        <v>578.74259439384571</v>
      </c>
      <c r="F40" s="10">
        <f t="shared" si="3"/>
        <v>14.984919694622931</v>
      </c>
      <c r="G40" s="10">
        <f t="shared" si="4"/>
        <v>92.23341846700032</v>
      </c>
      <c r="H40" s="133">
        <f t="shared" si="9"/>
        <v>1.4984919694622931</v>
      </c>
      <c r="I40" s="133"/>
      <c r="J40" s="133">
        <f t="shared" si="10"/>
        <v>1.4915057125629005</v>
      </c>
      <c r="K40" s="133"/>
      <c r="L40" s="39">
        <f t="shared" si="5"/>
        <v>78.461424048989826</v>
      </c>
      <c r="M40" s="6">
        <f t="shared" si="6"/>
        <v>-1.9232199387627169</v>
      </c>
      <c r="N40" s="39">
        <f t="shared" si="7"/>
        <v>99.711528905470416</v>
      </c>
      <c r="O40" s="42">
        <f t="shared" si="8"/>
        <v>24.63941113183802</v>
      </c>
    </row>
    <row r="41" spans="1:16" x14ac:dyDescent="0.3">
      <c r="A41" s="12">
        <v>90</v>
      </c>
      <c r="B41" s="14">
        <f>'RTD Resistance @ Temperature'!L32</f>
        <v>1347.1000000000001</v>
      </c>
      <c r="C41" s="10">
        <f t="shared" si="0"/>
        <v>4.4064122110495192E-4</v>
      </c>
      <c r="D41" s="10">
        <f t="shared" si="1"/>
        <v>0.44064122110495191</v>
      </c>
      <c r="E41" s="10">
        <f t="shared" si="2"/>
        <v>593.58778895048079</v>
      </c>
      <c r="F41" s="10">
        <f t="shared" si="3"/>
        <v>14.845194556635079</v>
      </c>
      <c r="G41" s="10">
        <f t="shared" si="4"/>
        <v>107.0786130236354</v>
      </c>
      <c r="H41" s="133">
        <f t="shared" si="9"/>
        <v>1.484519455663508</v>
      </c>
      <c r="I41" s="133"/>
      <c r="J41" s="133">
        <f t="shared" si="10"/>
        <v>1.4776228955680097</v>
      </c>
      <c r="K41" s="133"/>
      <c r="L41" s="39">
        <f t="shared" si="5"/>
        <v>87.839861480155747</v>
      </c>
      <c r="M41" s="6">
        <f t="shared" si="6"/>
        <v>-2.4001539109380587</v>
      </c>
      <c r="N41" s="39">
        <f t="shared" si="7"/>
        <v>111.62997604481832</v>
      </c>
      <c r="O41" s="42">
        <f t="shared" si="8"/>
        <v>24.0333067164648</v>
      </c>
    </row>
    <row r="42" spans="1:16" x14ac:dyDescent="0.3">
      <c r="A42" s="12">
        <v>100</v>
      </c>
      <c r="B42" s="14">
        <f>'RTD Resistance @ Temperature'!L33</f>
        <v>1385.1</v>
      </c>
      <c r="C42" s="10">
        <f t="shared" si="0"/>
        <v>4.3917049476947941E-4</v>
      </c>
      <c r="D42" s="10">
        <f t="shared" si="1"/>
        <v>0.43917049476947939</v>
      </c>
      <c r="E42" s="10">
        <f t="shared" si="2"/>
        <v>608.2950523052059</v>
      </c>
      <c r="F42" s="10">
        <f t="shared" si="3"/>
        <v>14.707263354725114</v>
      </c>
      <c r="G42" s="10">
        <f t="shared" si="4"/>
        <v>121.78587637836051</v>
      </c>
      <c r="H42" s="133">
        <f t="shared" si="9"/>
        <v>1.4707263354725115</v>
      </c>
      <c r="I42" s="133"/>
      <c r="J42" s="133">
        <f t="shared" si="10"/>
        <v>1.4620019679658924</v>
      </c>
      <c r="K42" s="133"/>
      <c r="L42" s="39">
        <f t="shared" si="5"/>
        <v>97.131161006730181</v>
      </c>
      <c r="M42" s="6">
        <f t="shared" si="6"/>
        <v>-2.8688389932698186</v>
      </c>
      <c r="N42" s="39">
        <f t="shared" si="7"/>
        <v>123.43768527954943</v>
      </c>
      <c r="O42" s="42">
        <f t="shared" si="8"/>
        <v>23.437685279549427</v>
      </c>
    </row>
    <row r="43" spans="1:16" x14ac:dyDescent="0.3">
      <c r="A43" s="12">
        <v>110</v>
      </c>
      <c r="B43" s="14">
        <f>'RTD Resistance @ Temperature'!L34</f>
        <v>1422.8999999999999</v>
      </c>
      <c r="C43" s="10">
        <f t="shared" si="0"/>
        <v>4.3771721716902014E-4</v>
      </c>
      <c r="D43" s="10">
        <f t="shared" si="1"/>
        <v>0.43771721716902012</v>
      </c>
      <c r="E43" s="10">
        <f t="shared" si="2"/>
        <v>622.82782830979863</v>
      </c>
      <c r="F43" s="10">
        <f t="shared" si="3"/>
        <v>14.532776004592733</v>
      </c>
      <c r="G43" s="10">
        <f t="shared" si="4"/>
        <v>136.31865238295325</v>
      </c>
      <c r="H43" s="133">
        <f t="shared" si="9"/>
        <v>1.4532776004592733</v>
      </c>
      <c r="I43" s="133"/>
      <c r="J43" s="133">
        <f t="shared" si="10"/>
        <v>1.4484843597935821</v>
      </c>
      <c r="K43" s="133"/>
      <c r="L43" s="39">
        <f t="shared" si="5"/>
        <v>106.31222831711483</v>
      </c>
      <c r="M43" s="6">
        <f t="shared" si="6"/>
        <v>-3.352519711713791</v>
      </c>
      <c r="N43" s="39">
        <f t="shared" si="7"/>
        <v>135.10530754869015</v>
      </c>
      <c r="O43" s="42">
        <f t="shared" si="8"/>
        <v>22.823006862445592</v>
      </c>
    </row>
    <row r="44" spans="1:16" x14ac:dyDescent="0.3">
      <c r="A44" s="12">
        <v>120</v>
      </c>
      <c r="B44" s="14">
        <f>'RTD Resistance @ Temperature'!L35</f>
        <v>1460.6999999999998</v>
      </c>
      <c r="C44" s="10">
        <f t="shared" si="0"/>
        <v>4.3627352604989222E-4</v>
      </c>
      <c r="D44" s="10">
        <f t="shared" si="1"/>
        <v>0.43627352604989222</v>
      </c>
      <c r="E44" s="10">
        <f t="shared" si="2"/>
        <v>637.26473950107754</v>
      </c>
      <c r="F44" s="10">
        <f t="shared" si="3"/>
        <v>14.436911191278909</v>
      </c>
      <c r="G44" s="10">
        <f t="shared" si="4"/>
        <v>150.75556357423216</v>
      </c>
      <c r="H44" s="133">
        <f t="shared" si="9"/>
        <v>1.4436911191278909</v>
      </c>
      <c r="I44" s="133"/>
      <c r="J44" s="133">
        <f t="shared" si="10"/>
        <v>1.435163379566734</v>
      </c>
      <c r="K44" s="133"/>
      <c r="L44" s="39">
        <f t="shared" si="5"/>
        <v>115.4327331235805</v>
      </c>
      <c r="M44" s="6">
        <f t="shared" si="6"/>
        <v>-3.8060557303495792</v>
      </c>
      <c r="N44" s="39">
        <f t="shared" si="7"/>
        <v>146.69596486424641</v>
      </c>
      <c r="O44" s="42">
        <f t="shared" si="8"/>
        <v>22.246637386872006</v>
      </c>
    </row>
    <row r="45" spans="1:16" x14ac:dyDescent="0.3">
      <c r="A45" s="12">
        <v>130</v>
      </c>
      <c r="B45" s="14">
        <f>'RTD Resistance @ Temperature'!L36</f>
        <v>1498.3000000000002</v>
      </c>
      <c r="C45" s="10">
        <f t="shared" si="0"/>
        <v>4.3484689040988668E-4</v>
      </c>
      <c r="D45" s="10">
        <f t="shared" si="1"/>
        <v>0.43484689040988667</v>
      </c>
      <c r="E45" s="10">
        <f t="shared" si="2"/>
        <v>651.53109590113331</v>
      </c>
      <c r="F45" s="10">
        <f t="shared" si="3"/>
        <v>14.26635640005577</v>
      </c>
      <c r="G45" s="10">
        <f t="shared" si="4"/>
        <v>165.02191997428793</v>
      </c>
      <c r="H45" s="133">
        <f t="shared" si="9"/>
        <v>1.4266356400055771</v>
      </c>
      <c r="I45" s="133"/>
      <c r="J45" s="133">
        <f t="shared" si="10"/>
        <v>1.420107049634487</v>
      </c>
      <c r="K45" s="133"/>
      <c r="L45" s="39">
        <f t="shared" si="5"/>
        <v>124.44549010417771</v>
      </c>
      <c r="M45" s="6">
        <f t="shared" si="6"/>
        <v>-4.2726999198633013</v>
      </c>
      <c r="N45" s="39">
        <f>($E45-$M$2)/$M$7</f>
        <v>158.14969246454692</v>
      </c>
      <c r="O45" s="42">
        <f t="shared" si="8"/>
        <v>21.653609588113014</v>
      </c>
    </row>
    <row r="46" spans="1:16" x14ac:dyDescent="0.3">
      <c r="A46" s="12">
        <v>140</v>
      </c>
      <c r="B46" s="14">
        <f>'RTD Resistance @ Temperature'!L37</f>
        <v>1535.8000000000002</v>
      </c>
      <c r="C46" s="10">
        <f t="shared" si="0"/>
        <v>4.3343331195062331E-4</v>
      </c>
      <c r="D46" s="10">
        <f t="shared" si="1"/>
        <v>0.43343331195062329</v>
      </c>
      <c r="E46" s="10">
        <f t="shared" si="2"/>
        <v>665.66688049376728</v>
      </c>
      <c r="F46" s="10">
        <f t="shared" si="3"/>
        <v>14.135784592633968</v>
      </c>
      <c r="G46" s="10">
        <f t="shared" si="4"/>
        <v>179.15770456692189</v>
      </c>
      <c r="H46" s="133">
        <f t="shared" si="9"/>
        <v>1.4135784592633969</v>
      </c>
      <c r="I46" s="133"/>
      <c r="J46" s="133">
        <f t="shared" si="10"/>
        <v>1.4089981587248872</v>
      </c>
      <c r="K46" s="133"/>
      <c r="L46" s="39">
        <f t="shared" si="5"/>
        <v>133.37575847059694</v>
      </c>
      <c r="M46" s="6">
        <f t="shared" si="6"/>
        <v>-4.7316010924307612</v>
      </c>
      <c r="N46" s="39">
        <f t="shared" si="7"/>
        <v>169.49859064151394</v>
      </c>
      <c r="O46" s="42">
        <f t="shared" si="8"/>
        <v>21.070421886795675</v>
      </c>
    </row>
    <row r="47" spans="1:16" x14ac:dyDescent="0.3">
      <c r="A47" s="12">
        <v>150</v>
      </c>
      <c r="B47" s="14">
        <f>'RTD Resistance @ Temperature'!L38</f>
        <v>1573.3000000000002</v>
      </c>
      <c r="C47" s="10">
        <f t="shared" si="0"/>
        <v>4.3202889409243691E-4</v>
      </c>
      <c r="D47" s="10">
        <f t="shared" si="1"/>
        <v>0.43202889409243689</v>
      </c>
      <c r="E47" s="10">
        <f t="shared" si="2"/>
        <v>679.71105907563106</v>
      </c>
      <c r="F47" s="10">
        <f t="shared" si="3"/>
        <v>14.044178581863775</v>
      </c>
      <c r="G47" s="10">
        <f t="shared" si="4"/>
        <v>193.20188314878567</v>
      </c>
      <c r="H47" s="133">
        <f t="shared" si="9"/>
        <v>1.4044178581863775</v>
      </c>
      <c r="I47" s="133"/>
      <c r="J47" s="133">
        <f t="shared" si="10"/>
        <v>1.3943184360153054</v>
      </c>
      <c r="K47" s="133"/>
      <c r="L47" s="39">
        <f t="shared" si="5"/>
        <v>142.2481548275218</v>
      </c>
      <c r="M47" s="6">
        <f t="shared" si="6"/>
        <v>-5.1678967816521322</v>
      </c>
      <c r="N47" s="39">
        <f t="shared" si="7"/>
        <v>180.77394303955259</v>
      </c>
      <c r="O47" s="42">
        <f t="shared" si="8"/>
        <v>20.515962026368395</v>
      </c>
    </row>
    <row r="48" spans="1:16" x14ac:dyDescent="0.3">
      <c r="A48" s="12">
        <v>160</v>
      </c>
      <c r="B48" s="14">
        <f>'RTD Resistance @ Temperature'!L39</f>
        <v>1610.5</v>
      </c>
      <c r="C48" s="10">
        <f t="shared" si="0"/>
        <v>4.3064467507859263E-4</v>
      </c>
      <c r="D48" s="10">
        <f t="shared" si="1"/>
        <v>0.43064467507859261</v>
      </c>
      <c r="E48" s="10">
        <f t="shared" si="2"/>
        <v>693.55324921407339</v>
      </c>
      <c r="F48" s="10">
        <f t="shared" si="3"/>
        <v>13.842190138442334</v>
      </c>
      <c r="G48" s="10">
        <f t="shared" si="4"/>
        <v>207.044073287228</v>
      </c>
      <c r="H48" s="133">
        <f t="shared" si="9"/>
        <v>1.3842190138442334</v>
      </c>
      <c r="I48" s="133"/>
      <c r="J48" s="133">
        <f t="shared" si="10"/>
        <v>1.3797981455771207</v>
      </c>
      <c r="K48" s="133"/>
      <c r="L48" s="39">
        <f t="shared" si="5"/>
        <v>150.99294517893293</v>
      </c>
      <c r="M48" s="6">
        <f t="shared" si="6"/>
        <v>-5.6294092631669201</v>
      </c>
      <c r="N48" s="39">
        <f t="shared" si="7"/>
        <v>191.88712925132177</v>
      </c>
      <c r="O48" s="42">
        <f t="shared" si="8"/>
        <v>19.929455782076104</v>
      </c>
    </row>
    <row r="49" spans="1:15" x14ac:dyDescent="0.3">
      <c r="A49" s="12">
        <v>170</v>
      </c>
      <c r="B49" s="14">
        <f>'RTD Resistance @ Temperature'!L40</f>
        <v>1647.7</v>
      </c>
      <c r="C49" s="10">
        <f t="shared" si="0"/>
        <v>4.2926929780128263E-4</v>
      </c>
      <c r="D49" s="10">
        <f t="shared" si="1"/>
        <v>0.42926929780128265</v>
      </c>
      <c r="E49" s="10">
        <f t="shared" si="2"/>
        <v>707.30702198717347</v>
      </c>
      <c r="F49" s="10">
        <f t="shared" si="3"/>
        <v>13.753772773100081</v>
      </c>
      <c r="G49" s="10">
        <f t="shared" si="4"/>
        <v>220.79784606032808</v>
      </c>
      <c r="H49" s="133">
        <f t="shared" si="9"/>
        <v>1.3753772773100081</v>
      </c>
      <c r="I49" s="133"/>
      <c r="J49" s="133">
        <f t="shared" si="10"/>
        <v>1.3691676091306477</v>
      </c>
      <c r="K49" s="133"/>
      <c r="L49" s="39">
        <f t="shared" si="5"/>
        <v>159.68187794454229</v>
      </c>
      <c r="M49" s="6">
        <f t="shared" si="6"/>
        <v>-6.0694835620339447</v>
      </c>
      <c r="N49" s="39">
        <f t="shared" si="7"/>
        <v>202.92932968442625</v>
      </c>
      <c r="O49" s="42">
        <f t="shared" si="8"/>
        <v>19.370193932015443</v>
      </c>
    </row>
    <row r="50" spans="1:15" x14ac:dyDescent="0.3">
      <c r="A50" s="12">
        <v>180</v>
      </c>
      <c r="B50" s="14">
        <f>'RTD Resistance @ Temperature'!L41</f>
        <v>1684.8</v>
      </c>
      <c r="C50" s="10">
        <f t="shared" si="0"/>
        <v>4.2790633986033137E-4</v>
      </c>
      <c r="D50" s="10">
        <f t="shared" si="1"/>
        <v>0.42790633986033139</v>
      </c>
      <c r="E50" s="10">
        <f t="shared" si="2"/>
        <v>720.93660139668634</v>
      </c>
      <c r="F50" s="10">
        <f t="shared" si="3"/>
        <v>13.629579409512871</v>
      </c>
      <c r="G50" s="10">
        <f t="shared" si="4"/>
        <v>234.42742546984095</v>
      </c>
      <c r="H50" s="133">
        <f t="shared" si="9"/>
        <v>1.3629579409512871</v>
      </c>
      <c r="I50" s="133"/>
      <c r="J50" s="133">
        <f t="shared" si="10"/>
        <v>1.3550051629582243</v>
      </c>
      <c r="K50" s="133"/>
      <c r="L50" s="39">
        <f t="shared" si="5"/>
        <v>168.29235167175207</v>
      </c>
      <c r="M50" s="6">
        <f t="shared" si="6"/>
        <v>-6.5042490712488483</v>
      </c>
      <c r="N50" s="39">
        <f t="shared" si="7"/>
        <v>213.87182162039213</v>
      </c>
      <c r="O50" s="42">
        <f t="shared" si="8"/>
        <v>18.817678677995627</v>
      </c>
    </row>
    <row r="51" spans="1:15" x14ac:dyDescent="0.3">
      <c r="A51" s="12">
        <v>190</v>
      </c>
      <c r="B51" s="14">
        <f>'RTD Resistance @ Temperature'!L42</f>
        <v>1721.6999999999998</v>
      </c>
      <c r="C51" s="10">
        <f t="shared" si="0"/>
        <v>4.2655928747536618E-4</v>
      </c>
      <c r="D51" s="10">
        <f t="shared" si="1"/>
        <v>0.4265592874753662</v>
      </c>
      <c r="E51" s="10">
        <f t="shared" si="2"/>
        <v>734.40712524633796</v>
      </c>
      <c r="F51" s="10">
        <f t="shared" si="3"/>
        <v>13.470523849651613</v>
      </c>
      <c r="G51" s="10">
        <f t="shared" si="4"/>
        <v>247.89794931949257</v>
      </c>
      <c r="H51" s="133">
        <f t="shared" si="9"/>
        <v>1.3470523849651612</v>
      </c>
      <c r="I51" s="133"/>
      <c r="J51" s="133">
        <f t="shared" si="10"/>
        <v>1.3428251612306041</v>
      </c>
      <c r="K51" s="133"/>
      <c r="L51" s="39">
        <f t="shared" si="5"/>
        <v>176.80234220148355</v>
      </c>
      <c r="M51" s="6">
        <f t="shared" si="6"/>
        <v>-6.9461356834297074</v>
      </c>
      <c r="N51" s="39">
        <f t="shared" si="7"/>
        <v>224.68661598559234</v>
      </c>
      <c r="O51" s="42">
        <f t="shared" si="8"/>
        <v>18.256113676627546</v>
      </c>
    </row>
    <row r="52" spans="1:15" x14ac:dyDescent="0.3">
      <c r="A52" s="12">
        <v>200</v>
      </c>
      <c r="B52" s="14">
        <f>'RTD Resistance @ Temperature'!L43</f>
        <v>1758.6000000000001</v>
      </c>
      <c r="C52" s="10">
        <f t="shared" si="0"/>
        <v>4.2522068953787013E-4</v>
      </c>
      <c r="D52" s="10">
        <f t="shared" si="1"/>
        <v>0.42522068953787012</v>
      </c>
      <c r="E52" s="10">
        <f t="shared" si="2"/>
        <v>747.79310462129843</v>
      </c>
      <c r="F52" s="10">
        <f t="shared" si="3"/>
        <v>13.385979374960471</v>
      </c>
      <c r="G52" s="10">
        <f t="shared" si="4"/>
        <v>261.28392869445304</v>
      </c>
      <c r="H52" s="133">
        <f t="shared" si="9"/>
        <v>1.3385979374960471</v>
      </c>
      <c r="I52" s="133"/>
      <c r="J52" s="133">
        <f t="shared" si="10"/>
        <v>1.330816662492134</v>
      </c>
      <c r="K52" s="133"/>
      <c r="L52" s="39">
        <f t="shared" si="5"/>
        <v>185.25892184036974</v>
      </c>
      <c r="M52" s="6">
        <f t="shared" si="6"/>
        <v>-7.3705390798151322</v>
      </c>
      <c r="N52" s="39">
        <f t="shared" si="7"/>
        <v>235.43353391787105</v>
      </c>
      <c r="O52" s="42">
        <f t="shared" si="8"/>
        <v>17.716766958935523</v>
      </c>
    </row>
    <row r="53" spans="1:15" x14ac:dyDescent="0.3">
      <c r="A53" s="12">
        <v>210</v>
      </c>
      <c r="B53" s="14">
        <f>'RTD Resistance @ Temperature'!L44</f>
        <v>1795.3</v>
      </c>
      <c r="C53" s="10">
        <f t="shared" si="0"/>
        <v>4.2389765415038193E-4</v>
      </c>
      <c r="D53" s="10">
        <f t="shared" si="1"/>
        <v>0.42389765415038194</v>
      </c>
      <c r="E53" s="10">
        <f t="shared" si="2"/>
        <v>761.02345849618064</v>
      </c>
      <c r="F53" s="10">
        <f t="shared" si="3"/>
        <v>13.230353874882212</v>
      </c>
      <c r="G53" s="10">
        <f t="shared" si="4"/>
        <v>274.51428256933525</v>
      </c>
      <c r="H53" s="133">
        <f t="shared" si="9"/>
        <v>1.3230353874882212</v>
      </c>
      <c r="I53" s="133"/>
      <c r="J53" s="133">
        <f t="shared" si="10"/>
        <v>1.3171458744210951</v>
      </c>
      <c r="K53" s="133"/>
      <c r="L53" s="39">
        <f t="shared" si="5"/>
        <v>193.61718521875764</v>
      </c>
      <c r="M53" s="6">
        <f t="shared" si="6"/>
        <v>-7.8013403720201708</v>
      </c>
      <c r="N53" s="39">
        <f t="shared" si="7"/>
        <v>246.05550809888121</v>
      </c>
      <c r="O53" s="42">
        <f t="shared" si="8"/>
        <v>17.169289570895813</v>
      </c>
    </row>
    <row r="54" spans="1:15" x14ac:dyDescent="0.3">
      <c r="A54" s="12">
        <v>220</v>
      </c>
      <c r="B54" s="14">
        <f>'RTD Resistance @ Temperature'!L45</f>
        <v>1831.9</v>
      </c>
      <c r="C54" s="10">
        <f t="shared" si="0"/>
        <v>4.2258639778902798E-4</v>
      </c>
      <c r="D54" s="10">
        <f t="shared" si="1"/>
        <v>0.42258639778902796</v>
      </c>
      <c r="E54" s="10">
        <f t="shared" si="2"/>
        <v>774.13602210972033</v>
      </c>
      <c r="F54" s="10">
        <f t="shared" si="3"/>
        <v>13.112563613539692</v>
      </c>
      <c r="G54" s="10">
        <f t="shared" si="4"/>
        <v>287.62684618287494</v>
      </c>
      <c r="H54" s="133">
        <f t="shared" si="9"/>
        <v>1.3112563613539692</v>
      </c>
      <c r="I54" s="133"/>
      <c r="J54" s="133">
        <f t="shared" si="10"/>
        <v>1.305437907316616</v>
      </c>
      <c r="K54" s="133"/>
      <c r="L54" s="39">
        <f t="shared" si="5"/>
        <v>201.90103471245126</v>
      </c>
      <c r="M54" s="6">
        <f t="shared" si="6"/>
        <v>-8.2268024034312432</v>
      </c>
      <c r="N54" s="39">
        <f t="shared" si="7"/>
        <v>256.5829145059235</v>
      </c>
      <c r="O54" s="42">
        <f t="shared" si="8"/>
        <v>16.6285975026925</v>
      </c>
    </row>
    <row r="55" spans="1:15" x14ac:dyDescent="0.3">
      <c r="A55" s="12">
        <v>230</v>
      </c>
      <c r="B55" s="14">
        <f>'RTD Resistance @ Temperature'!L46</f>
        <v>1868.4</v>
      </c>
      <c r="C55" s="10">
        <f t="shared" si="0"/>
        <v>4.2128677833574871E-4</v>
      </c>
      <c r="D55" s="10">
        <f t="shared" si="1"/>
        <v>0.42128677833574874</v>
      </c>
      <c r="E55" s="10">
        <f t="shared" si="2"/>
        <v>787.13221664251296</v>
      </c>
      <c r="F55" s="10">
        <f t="shared" si="3"/>
        <v>12.996194532792629</v>
      </c>
      <c r="G55" s="10">
        <f t="shared" si="4"/>
        <v>300.62304071566757</v>
      </c>
      <c r="H55" s="133">
        <f t="shared" si="9"/>
        <v>1.2996194532792629</v>
      </c>
      <c r="I55" s="133"/>
      <c r="J55" s="133">
        <f t="shared" si="10"/>
        <v>1.2921068888355478</v>
      </c>
      <c r="K55" s="133"/>
      <c r="L55" s="39">
        <f t="shared" si="5"/>
        <v>210.11136815092951</v>
      </c>
      <c r="M55" s="6">
        <f t="shared" si="6"/>
        <v>-8.6472312387263006</v>
      </c>
      <c r="N55" s="39">
        <f t="shared" si="7"/>
        <v>267.01689413218185</v>
      </c>
      <c r="O55" s="42">
        <f t="shared" si="8"/>
        <v>16.094301796600803</v>
      </c>
    </row>
    <row r="56" spans="1:15" x14ac:dyDescent="0.3">
      <c r="A56" s="12">
        <v>240</v>
      </c>
      <c r="B56" s="14">
        <f>'RTD Resistance @ Temperature'!L47</f>
        <v>1904.7</v>
      </c>
      <c r="C56" s="10">
        <f t="shared" si="0"/>
        <v>4.2000218401135682E-4</v>
      </c>
      <c r="D56" s="10">
        <f t="shared" si="1"/>
        <v>0.42000218401135681</v>
      </c>
      <c r="E56" s="10">
        <f t="shared" si="2"/>
        <v>799.97815988643129</v>
      </c>
      <c r="F56" s="10">
        <f t="shared" si="3"/>
        <v>12.845943243918327</v>
      </c>
      <c r="G56" s="10">
        <f t="shared" si="4"/>
        <v>313.4689839595859</v>
      </c>
      <c r="H56" s="133">
        <f t="shared" si="9"/>
        <v>1.2845943243918327</v>
      </c>
      <c r="I56" s="133"/>
      <c r="J56" s="133">
        <f t="shared" si="10"/>
        <v>1.2806892264959118</v>
      </c>
      <c r="K56" s="133"/>
      <c r="L56" s="39">
        <f t="shared" si="5"/>
        <v>218.22678048168609</v>
      </c>
      <c r="M56" s="6">
        <f t="shared" si="6"/>
        <v>-9.0721747992974624</v>
      </c>
      <c r="N56" s="39">
        <f t="shared" si="7"/>
        <v>277.33024468637001</v>
      </c>
      <c r="O56" s="42">
        <f t="shared" si="8"/>
        <v>15.554268619320839</v>
      </c>
    </row>
    <row r="57" spans="1:15" x14ac:dyDescent="0.3">
      <c r="A57" s="12">
        <v>250</v>
      </c>
      <c r="B57" s="14">
        <f>'RTD Resistance @ Temperature'!L48</f>
        <v>1941</v>
      </c>
      <c r="C57" s="10">
        <f t="shared" si="0"/>
        <v>4.187253998827569E-4</v>
      </c>
      <c r="D57" s="10">
        <f t="shared" si="1"/>
        <v>0.41872539988275692</v>
      </c>
      <c r="E57" s="10">
        <f t="shared" si="2"/>
        <v>812.74600117243119</v>
      </c>
      <c r="F57" s="10">
        <f t="shared" si="3"/>
        <v>12.767841285999907</v>
      </c>
      <c r="G57" s="10">
        <f t="shared" si="4"/>
        <v>326.23682524558581</v>
      </c>
      <c r="H57" s="133">
        <f t="shared" si="9"/>
        <v>1.2767841285999908</v>
      </c>
      <c r="I57" s="133"/>
      <c r="J57" s="133">
        <f t="shared" si="10"/>
        <v>1.2694290822662595</v>
      </c>
      <c r="K57" s="133"/>
      <c r="L57" s="39">
        <f t="shared" si="5"/>
        <v>226.29285197539298</v>
      </c>
      <c r="M57" s="6">
        <f t="shared" si="6"/>
        <v>-9.4828592098428093</v>
      </c>
      <c r="N57" s="39">
        <f t="shared" si="7"/>
        <v>287.5808911747153</v>
      </c>
      <c r="O57" s="42">
        <f t="shared" si="8"/>
        <v>15.032356469886121</v>
      </c>
    </row>
    <row r="58" spans="1:15" x14ac:dyDescent="0.3">
      <c r="A58" s="12">
        <v>260</v>
      </c>
      <c r="B58" s="14">
        <f>'RTD Resistance @ Temperature'!L49</f>
        <v>1977.1000000000001</v>
      </c>
      <c r="C58" s="10">
        <f t="shared" si="0"/>
        <v>4.1746332584682432E-4</v>
      </c>
      <c r="D58" s="10">
        <f t="shared" si="1"/>
        <v>0.41746332584682433</v>
      </c>
      <c r="E58" s="10">
        <f t="shared" si="2"/>
        <v>825.36674153175647</v>
      </c>
      <c r="F58" s="10">
        <f t="shared" si="3"/>
        <v>12.620740359325282</v>
      </c>
      <c r="G58" s="10">
        <f t="shared" si="4"/>
        <v>338.85756560491109</v>
      </c>
      <c r="H58" s="133">
        <f t="shared" si="9"/>
        <v>1.2620740359325282</v>
      </c>
      <c r="I58" s="133"/>
      <c r="J58" s="133">
        <f t="shared" si="10"/>
        <v>1.2565491559858231</v>
      </c>
      <c r="K58" s="133"/>
      <c r="L58" s="39">
        <f t="shared" si="5"/>
        <v>234.26599259967804</v>
      </c>
      <c r="M58" s="6">
        <f t="shared" si="6"/>
        <v>-9.897695153969984</v>
      </c>
      <c r="N58" s="39">
        <f t="shared" si="7"/>
        <v>297.71343785560896</v>
      </c>
      <c r="O58" s="42">
        <f t="shared" si="8"/>
        <v>14.505168406003447</v>
      </c>
    </row>
    <row r="59" spans="1:15" x14ac:dyDescent="0.3">
      <c r="A59" s="12">
        <v>270</v>
      </c>
      <c r="B59" s="14">
        <f>'RTD Resistance @ Temperature'!L50</f>
        <v>2013.1</v>
      </c>
      <c r="C59" s="10">
        <f t="shared" si="0"/>
        <v>4.1621230157078522E-4</v>
      </c>
      <c r="D59" s="10">
        <f t="shared" si="1"/>
        <v>0.4162123015707852</v>
      </c>
      <c r="E59" s="10">
        <f t="shared" si="2"/>
        <v>837.87698429214765</v>
      </c>
      <c r="F59" s="10">
        <f t="shared" si="3"/>
        <v>12.510242760391179</v>
      </c>
      <c r="G59" s="10">
        <f t="shared" si="4"/>
        <v>351.36780836530227</v>
      </c>
      <c r="H59" s="133">
        <f t="shared" si="9"/>
        <v>1.2510242760391179</v>
      </c>
      <c r="I59" s="133"/>
      <c r="J59" s="133">
        <f t="shared" si="10"/>
        <v>1.2455644920070768</v>
      </c>
      <c r="K59" s="133"/>
      <c r="L59" s="39">
        <f t="shared" si="5"/>
        <v>242.16932647175491</v>
      </c>
      <c r="M59" s="6">
        <f t="shared" si="6"/>
        <v>-10.307656862312994</v>
      </c>
      <c r="N59" s="39">
        <f t="shared" si="7"/>
        <v>307.75727166804563</v>
      </c>
      <c r="O59" s="42">
        <f t="shared" si="8"/>
        <v>13.984174691868754</v>
      </c>
    </row>
    <row r="60" spans="1:15" x14ac:dyDescent="0.3">
      <c r="A60" s="12">
        <v>280</v>
      </c>
      <c r="B60" s="14">
        <f>'RTD Resistance @ Temperature'!L51</f>
        <v>2049</v>
      </c>
      <c r="C60" s="10">
        <f t="shared" si="0"/>
        <v>4.1497219686281018E-4</v>
      </c>
      <c r="D60" s="10">
        <f t="shared" si="1"/>
        <v>0.41497219686281017</v>
      </c>
      <c r="E60" s="10">
        <f t="shared" si="2"/>
        <v>850.27803137189801</v>
      </c>
      <c r="F60" s="10">
        <f t="shared" si="3"/>
        <v>12.401047079750356</v>
      </c>
      <c r="G60" s="10">
        <f t="shared" si="4"/>
        <v>363.76885544505262</v>
      </c>
      <c r="H60" s="133">
        <f t="shared" si="9"/>
        <v>1.2401047079750356</v>
      </c>
      <c r="I60" s="133"/>
      <c r="J60" s="133">
        <f t="shared" si="10"/>
        <v>1.2347089741917672</v>
      </c>
      <c r="K60" s="133"/>
      <c r="L60" s="39">
        <f t="shared" si="5"/>
        <v>250.00367607725738</v>
      </c>
      <c r="M60" s="6">
        <f t="shared" si="6"/>
        <v>-10.712972829550935</v>
      </c>
      <c r="N60" s="39">
        <f t="shared" si="7"/>
        <v>317.71343785560896</v>
      </c>
      <c r="O60" s="42">
        <f t="shared" si="8"/>
        <v>13.469084948431769</v>
      </c>
    </row>
    <row r="61" spans="1:15" x14ac:dyDescent="0.3">
      <c r="A61" s="12">
        <v>290</v>
      </c>
      <c r="B61" s="14">
        <f>'RTD Resistance @ Temperature'!L52</f>
        <v>2084.7999999999997</v>
      </c>
      <c r="C61" s="10">
        <f t="shared" si="0"/>
        <v>4.1374288362240174E-4</v>
      </c>
      <c r="D61" s="10">
        <f t="shared" si="1"/>
        <v>0.41374288362240175</v>
      </c>
      <c r="E61" s="10">
        <f t="shared" si="2"/>
        <v>862.571163775983</v>
      </c>
      <c r="F61" s="10">
        <f t="shared" si="3"/>
        <v>12.293132404084986</v>
      </c>
      <c r="G61" s="10">
        <f t="shared" si="4"/>
        <v>376.06198784913761</v>
      </c>
      <c r="H61" s="133">
        <f t="shared" si="9"/>
        <v>1.2293132404084985</v>
      </c>
      <c r="I61" s="133"/>
      <c r="J61" s="133">
        <f t="shared" si="10"/>
        <v>1.2239805319785149</v>
      </c>
      <c r="K61" s="133"/>
      <c r="L61" s="39">
        <f t="shared" si="5"/>
        <v>257.76985068985078</v>
      </c>
      <c r="M61" s="6">
        <f t="shared" si="6"/>
        <v>-11.113844589706625</v>
      </c>
      <c r="N61" s="39">
        <f t="shared" si="7"/>
        <v>327.58296487164978</v>
      </c>
      <c r="O61" s="42">
        <f t="shared" si="8"/>
        <v>12.959643059189579</v>
      </c>
    </row>
    <row r="62" spans="1:15" x14ac:dyDescent="0.3">
      <c r="A62" s="12">
        <v>300</v>
      </c>
      <c r="B62" s="14">
        <f>'RTD Resistance @ Temperature'!L53</f>
        <v>2120.5</v>
      </c>
      <c r="C62" s="10">
        <f t="shared" si="0"/>
        <v>4.125242357988532E-4</v>
      </c>
      <c r="D62" s="10">
        <f t="shared" si="1"/>
        <v>0.41252423579885322</v>
      </c>
      <c r="E62" s="10">
        <f t="shared" si="2"/>
        <v>874.75764201146831</v>
      </c>
      <c r="F62" s="10">
        <f t="shared" si="3"/>
        <v>12.186478235485311</v>
      </c>
      <c r="G62" s="10">
        <f t="shared" si="4"/>
        <v>388.24846608462292</v>
      </c>
      <c r="H62" s="133">
        <f t="shared" si="9"/>
        <v>1.218647823548531</v>
      </c>
      <c r="I62" s="133"/>
      <c r="J62" s="133">
        <f t="shared" si="10"/>
        <v>1.2133771358526757</v>
      </c>
      <c r="K62" s="133"/>
      <c r="L62" s="39">
        <f t="shared" si="5"/>
        <v>265.46864663366563</v>
      </c>
      <c r="M62" s="6">
        <f t="shared" si="6"/>
        <v>-11.510451122111458</v>
      </c>
      <c r="N62" s="39">
        <f t="shared" si="7"/>
        <v>337.36686471279592</v>
      </c>
      <c r="O62" s="42">
        <f t="shared" si="8"/>
        <v>12.455621570931973</v>
      </c>
    </row>
    <row r="63" spans="1:15" x14ac:dyDescent="0.3">
      <c r="A63" s="12">
        <v>310</v>
      </c>
      <c r="B63" s="14">
        <f>'RTD Resistance @ Temperature'!L54</f>
        <v>2156.1000000000004</v>
      </c>
      <c r="C63" s="10">
        <f t="shared" si="0"/>
        <v>4.1131612935069634E-4</v>
      </c>
      <c r="D63" s="10">
        <f t="shared" si="1"/>
        <v>0.41131612935069634</v>
      </c>
      <c r="E63" s="10">
        <f t="shared" si="2"/>
        <v>886.83870649303651</v>
      </c>
      <c r="F63" s="10">
        <f t="shared" si="3"/>
        <v>12.081064481568205</v>
      </c>
      <c r="G63" s="10">
        <f t="shared" si="4"/>
        <v>400.32953056619112</v>
      </c>
      <c r="H63" s="133">
        <f t="shared" si="9"/>
        <v>1.2081064481568204</v>
      </c>
      <c r="I63" s="133"/>
      <c r="J63" s="133">
        <f t="shared" si="10"/>
        <v>1.2012148112093826</v>
      </c>
      <c r="K63" s="133"/>
      <c r="L63" s="39">
        <f t="shared" si="5"/>
        <v>273.1008475394886</v>
      </c>
      <c r="M63" s="6">
        <f t="shared" si="6"/>
        <v>-11.902952406616581</v>
      </c>
      <c r="N63" s="39">
        <f t="shared" si="7"/>
        <v>347.06613324452888</v>
      </c>
      <c r="O63" s="42">
        <f t="shared" si="8"/>
        <v>11.956817175654479</v>
      </c>
    </row>
    <row r="64" spans="1:15" ht="15" thickBot="1" x14ac:dyDescent="0.35">
      <c r="A64" s="3">
        <v>320</v>
      </c>
      <c r="B64" s="15">
        <f>'RTD Resistance @ Temperature'!L55</f>
        <v>2191.5</v>
      </c>
      <c r="C64" s="11">
        <f t="shared" si="0"/>
        <v>4.1012180617643442E-4</v>
      </c>
      <c r="D64" s="11">
        <f t="shared" si="1"/>
        <v>0.4101218061764344</v>
      </c>
      <c r="E64" s="11">
        <f t="shared" si="2"/>
        <v>898.78193823565596</v>
      </c>
      <c r="F64" s="11">
        <f>E64-E63</f>
        <v>11.943231742619446</v>
      </c>
      <c r="G64" s="11">
        <f t="shared" si="4"/>
        <v>412.27276230881057</v>
      </c>
      <c r="H64" s="134">
        <f>F64/(A64-A63)</f>
        <v>1.1943231742619447</v>
      </c>
      <c r="I64" s="134"/>
      <c r="J64" s="134">
        <f>(E64-E63) / (A64-A63)</f>
        <v>1.1943231742619447</v>
      </c>
      <c r="K64" s="134"/>
      <c r="L64" s="43">
        <f t="shared" si="5"/>
        <v>280.64597274460147</v>
      </c>
      <c r="M64" s="7">
        <f t="shared" si="6"/>
        <v>-12.298133517312042</v>
      </c>
      <c r="N64" s="43">
        <f t="shared" si="7"/>
        <v>356.65474292251861</v>
      </c>
      <c r="O64" s="44">
        <f t="shared" si="8"/>
        <v>11.454607163287065</v>
      </c>
    </row>
  </sheetData>
  <sheetProtection algorithmName="SHA-512" hashValue="JnWJ9pXSlZnJpMNr8acq0n4qVdXTuuXXLMG4r9uk3rTyrz/Xq4eAi4bibwseHpfT9HlI0DZgkaXQCWhVpgNNSQ==" saltValue="15XBgCuTILgo8KgjpbRviw==" spinCount="100000" sheet="1" objects="1" scenarios="1"/>
  <mergeCells count="124"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3FA9-C471-47A3-90C2-AB9964C62B39}">
  <dimension ref="A1:P64"/>
  <sheetViews>
    <sheetView workbookViewId="0">
      <selection activeCell="R16" sqref="R16"/>
    </sheetView>
  </sheetViews>
  <sheetFormatPr defaultRowHeight="14.4" x14ac:dyDescent="0.3"/>
  <cols>
    <col min="3" max="3" width="10.5546875" customWidth="1"/>
    <col min="4" max="4" width="10.5546875" bestFit="1" customWidth="1"/>
    <col min="5" max="5" width="12.5546875" bestFit="1" customWidth="1"/>
    <col min="6" max="6" width="14.44140625" customWidth="1"/>
    <col min="7" max="7" width="13.6640625" customWidth="1"/>
    <col min="12" max="12" width="18.6640625" customWidth="1"/>
    <col min="13" max="13" width="18.109375" customWidth="1"/>
    <col min="14" max="14" width="18.44140625" customWidth="1"/>
    <col min="15" max="15" width="18.33203125" customWidth="1"/>
  </cols>
  <sheetData>
    <row r="1" spans="1:15" ht="15" thickBot="1" x14ac:dyDescent="0.35">
      <c r="A1" s="114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4" t="s">
        <v>55</v>
      </c>
      <c r="M1" s="115"/>
      <c r="N1" s="116"/>
    </row>
    <row r="2" spans="1:15" ht="16.2" x14ac:dyDescent="0.35">
      <c r="A2" s="23" t="s">
        <v>31</v>
      </c>
      <c r="F2" s="140" t="s">
        <v>16</v>
      </c>
      <c r="G2" s="1" t="s">
        <v>9</v>
      </c>
      <c r="J2">
        <f>0.0005*1000</f>
        <v>0.5</v>
      </c>
      <c r="K2" s="24" t="s">
        <v>2</v>
      </c>
      <c r="L2" s="33" t="s">
        <v>56</v>
      </c>
      <c r="M2" s="34">
        <f>E32</f>
        <v>0</v>
      </c>
      <c r="N2" s="35" t="s">
        <v>20</v>
      </c>
    </row>
    <row r="3" spans="1:15" ht="16.2" x14ac:dyDescent="0.35">
      <c r="A3" s="25"/>
      <c r="B3" s="1" t="s">
        <v>32</v>
      </c>
      <c r="F3" s="141"/>
      <c r="G3" s="1" t="s">
        <v>10</v>
      </c>
      <c r="J3">
        <f>$D$4-$J$2</f>
        <v>4.5</v>
      </c>
      <c r="K3" s="24" t="s">
        <v>2</v>
      </c>
      <c r="L3" s="33" t="s">
        <v>27</v>
      </c>
      <c r="M3" s="34">
        <f>$E$34</f>
        <v>0</v>
      </c>
      <c r="N3" s="35" t="s">
        <v>20</v>
      </c>
    </row>
    <row r="4" spans="1:15" ht="16.2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41"/>
      <c r="G4" s="21" t="s">
        <v>11</v>
      </c>
      <c r="K4" s="26"/>
      <c r="L4" s="33" t="s">
        <v>26</v>
      </c>
      <c r="M4" s="34">
        <f>$J$34</f>
        <v>0</v>
      </c>
      <c r="N4" s="35" t="s">
        <v>23</v>
      </c>
    </row>
    <row r="5" spans="1:15" ht="15.6" x14ac:dyDescent="0.35">
      <c r="A5" s="25"/>
      <c r="C5" t="s">
        <v>7</v>
      </c>
      <c r="D5" s="22">
        <f>'RTD Data'!$F$8</f>
        <v>5000</v>
      </c>
      <c r="E5" s="20" t="s">
        <v>0</v>
      </c>
      <c r="F5" s="141"/>
      <c r="G5" s="1"/>
      <c r="H5" s="143" t="s">
        <v>12</v>
      </c>
      <c r="I5" s="143"/>
      <c r="J5">
        <f>$J$3/2</f>
        <v>2.25</v>
      </c>
      <c r="K5" s="24" t="s">
        <v>2</v>
      </c>
      <c r="L5" s="33" t="s">
        <v>42</v>
      </c>
      <c r="M5" s="36">
        <f>'RTD Data'!S4</f>
        <v>280</v>
      </c>
      <c r="N5" s="37" t="s">
        <v>21</v>
      </c>
    </row>
    <row r="6" spans="1:15" ht="15.6" x14ac:dyDescent="0.35">
      <c r="A6" s="25"/>
      <c r="C6" t="s">
        <v>8</v>
      </c>
      <c r="D6" s="22">
        <f>'RTD Data'!$F$7</f>
        <v>5000</v>
      </c>
      <c r="E6" s="20" t="s">
        <v>0</v>
      </c>
      <c r="F6" s="141"/>
      <c r="H6" s="144" t="s">
        <v>13</v>
      </c>
      <c r="I6" s="144"/>
      <c r="J6" s="22">
        <f>J5/0.0005</f>
        <v>4500</v>
      </c>
      <c r="K6" s="24" t="s">
        <v>0</v>
      </c>
      <c r="L6" s="33" t="s">
        <v>46</v>
      </c>
      <c r="M6" s="34">
        <f>VLOOKUP(M5,'PT-CUSTOM Tables'!12:64,5)</f>
        <v>0</v>
      </c>
      <c r="N6" s="35" t="s">
        <v>20</v>
      </c>
    </row>
    <row r="7" spans="1:15" ht="16.2" x14ac:dyDescent="0.35">
      <c r="A7" s="23" t="s">
        <v>39</v>
      </c>
      <c r="D7" s="22"/>
      <c r="E7" s="20"/>
      <c r="F7" s="141"/>
      <c r="H7" s="144" t="s">
        <v>14</v>
      </c>
      <c r="I7" s="144"/>
      <c r="J7" s="22">
        <f>J6</f>
        <v>4500</v>
      </c>
      <c r="K7" s="24" t="s">
        <v>0</v>
      </c>
      <c r="L7" s="18" t="s">
        <v>43</v>
      </c>
      <c r="M7" s="34">
        <f>VLOOKUP(M5-10,12:64,10)</f>
        <v>0</v>
      </c>
      <c r="N7" s="35" t="s">
        <v>23</v>
      </c>
    </row>
    <row r="8" spans="1:15" ht="16.2" thickBot="1" x14ac:dyDescent="0.4">
      <c r="A8" s="27" t="s">
        <v>34</v>
      </c>
      <c r="B8" s="28"/>
      <c r="C8" s="29"/>
      <c r="D8" s="30"/>
      <c r="E8" s="31"/>
      <c r="F8" s="142"/>
      <c r="G8" s="29"/>
      <c r="H8" s="29"/>
      <c r="I8" s="29"/>
      <c r="J8" s="29"/>
      <c r="K8" s="32"/>
      <c r="L8" s="38"/>
      <c r="M8" s="29"/>
      <c r="N8" s="32"/>
    </row>
    <row r="9" spans="1:15" ht="15" thickBot="1" x14ac:dyDescent="0.35"/>
    <row r="10" spans="1:15" ht="15" customHeight="1" x14ac:dyDescent="0.3">
      <c r="A10" s="112" t="s">
        <v>1</v>
      </c>
      <c r="B10" s="112" t="s">
        <v>28</v>
      </c>
      <c r="C10" s="129" t="s">
        <v>29</v>
      </c>
      <c r="D10" s="129" t="s">
        <v>30</v>
      </c>
      <c r="E10" s="129" t="s">
        <v>24</v>
      </c>
      <c r="F10" s="129" t="s">
        <v>37</v>
      </c>
      <c r="G10" s="129" t="s">
        <v>38</v>
      </c>
      <c r="H10" s="131" t="s">
        <v>33</v>
      </c>
      <c r="I10" s="137"/>
      <c r="J10" s="131" t="s">
        <v>35</v>
      </c>
      <c r="K10" s="137"/>
      <c r="L10" s="131" t="s">
        <v>48</v>
      </c>
      <c r="M10" s="129" t="s">
        <v>40</v>
      </c>
      <c r="N10" s="19"/>
      <c r="O10" s="129" t="s">
        <v>49</v>
      </c>
    </row>
    <row r="11" spans="1:15" ht="16.2" thickBot="1" x14ac:dyDescent="0.4">
      <c r="A11" s="145"/>
      <c r="B11" s="113"/>
      <c r="C11" s="130"/>
      <c r="D11" s="130"/>
      <c r="E11" s="130"/>
      <c r="F11" s="130"/>
      <c r="G11" s="130"/>
      <c r="H11" s="132"/>
      <c r="I11" s="138"/>
      <c r="J11" s="132"/>
      <c r="K11" s="138"/>
      <c r="L11" s="132"/>
      <c r="M11" s="130"/>
      <c r="N11" s="16" t="s">
        <v>41</v>
      </c>
      <c r="O11" s="130"/>
    </row>
    <row r="12" spans="1:15" x14ac:dyDescent="0.3">
      <c r="A12" s="4">
        <v>-200</v>
      </c>
      <c r="B12" s="17">
        <f>'RTD Resistance @ Temperature'!Q3</f>
        <v>0</v>
      </c>
      <c r="C12" s="9">
        <f>$D$4 / ($D$5 + $D$6 + B12)</f>
        <v>5.0000000000000001E-4</v>
      </c>
      <c r="D12" s="9">
        <f>C12*1000</f>
        <v>0.5</v>
      </c>
      <c r="E12" s="9">
        <f>B12*D12</f>
        <v>0</v>
      </c>
      <c r="F12" s="9">
        <f>E13-E12</f>
        <v>0</v>
      </c>
      <c r="G12" s="9">
        <f>E12-$E$34</f>
        <v>0</v>
      </c>
      <c r="H12" s="139">
        <f>F12/(A13-A12)</f>
        <v>0</v>
      </c>
      <c r="I12" s="139"/>
      <c r="J12" s="139">
        <f>(E13-E12)/(A13-A12)</f>
        <v>0</v>
      </c>
      <c r="K12" s="139"/>
      <c r="L12" s="40" t="e">
        <f>($E12-$M$2)/$M$4</f>
        <v>#DIV/0!</v>
      </c>
      <c r="M12" s="8" t="e">
        <f>(L12-$A12)/$A12 * 100</f>
        <v>#DIV/0!</v>
      </c>
      <c r="N12" s="40" t="e">
        <f>($E12-$M$2)/$M$7</f>
        <v>#DIV/0!</v>
      </c>
      <c r="O12" s="41" t="e">
        <f>(N12-$A12)/$A12 * 100</f>
        <v>#DIV/0!</v>
      </c>
    </row>
    <row r="13" spans="1:15" x14ac:dyDescent="0.3">
      <c r="A13" s="2">
        <v>-190</v>
      </c>
      <c r="B13" s="14">
        <f>'RTD Resistance @ Temperature'!Q4</f>
        <v>0</v>
      </c>
      <c r="C13" s="10">
        <f t="shared" ref="C13:C64" si="0">$D$4 / ($D$5 + $D$6 + B13)</f>
        <v>5.0000000000000001E-4</v>
      </c>
      <c r="D13" s="10">
        <f t="shared" ref="D13:D64" si="1">C13*1000</f>
        <v>0.5</v>
      </c>
      <c r="E13" s="10">
        <f t="shared" ref="E13:E64" si="2">B13*D13</f>
        <v>0</v>
      </c>
      <c r="F13" s="10">
        <f t="shared" ref="F13:F63" si="3">E13-E12</f>
        <v>0</v>
      </c>
      <c r="G13" s="10">
        <f t="shared" ref="G13:G64" si="4">E13-$E$34</f>
        <v>0</v>
      </c>
      <c r="H13" s="133">
        <f>F13/(A13-A12)</f>
        <v>0</v>
      </c>
      <c r="I13" s="133"/>
      <c r="J13" s="133">
        <f>(E14-E12)/(A14-A12)</f>
        <v>0</v>
      </c>
      <c r="K13" s="133"/>
      <c r="L13" s="39" t="e">
        <f t="shared" ref="L13:L64" si="5">($E13-$M$2)/$M$4</f>
        <v>#DIV/0!</v>
      </c>
      <c r="M13" s="6" t="e">
        <f t="shared" ref="M13:M64" si="6">(L13-$A13)/$A13 * 100</f>
        <v>#DIV/0!</v>
      </c>
      <c r="N13" s="39" t="e">
        <f t="shared" ref="N13:N64" si="7">($E13-$M$2)/$M$7</f>
        <v>#DIV/0!</v>
      </c>
      <c r="O13" s="42" t="e">
        <f t="shared" ref="O13:O64" si="8">(N13-$A13)/$A13 * 100</f>
        <v>#DIV/0!</v>
      </c>
    </row>
    <row r="14" spans="1:15" x14ac:dyDescent="0.3">
      <c r="A14" s="2">
        <v>-180</v>
      </c>
      <c r="B14" s="14">
        <f>'RTD Resistance @ Temperature'!Q5</f>
        <v>0</v>
      </c>
      <c r="C14" s="10">
        <f t="shared" si="0"/>
        <v>5.0000000000000001E-4</v>
      </c>
      <c r="D14" s="10">
        <f t="shared" si="1"/>
        <v>0.5</v>
      </c>
      <c r="E14" s="10">
        <f t="shared" si="2"/>
        <v>0</v>
      </c>
      <c r="F14" s="10">
        <f t="shared" si="3"/>
        <v>0</v>
      </c>
      <c r="G14" s="10">
        <f t="shared" si="4"/>
        <v>0</v>
      </c>
      <c r="H14" s="133">
        <f t="shared" ref="H14:H63" si="9">F14/(A14-A13)</f>
        <v>0</v>
      </c>
      <c r="I14" s="133"/>
      <c r="J14" s="133">
        <f t="shared" ref="J14:J63" si="10">(E15-E13)/(A15-A13)</f>
        <v>0</v>
      </c>
      <c r="K14" s="133"/>
      <c r="L14" s="39" t="e">
        <f t="shared" si="5"/>
        <v>#DIV/0!</v>
      </c>
      <c r="M14" s="6" t="e">
        <f t="shared" si="6"/>
        <v>#DIV/0!</v>
      </c>
      <c r="N14" s="39" t="e">
        <f t="shared" si="7"/>
        <v>#DIV/0!</v>
      </c>
      <c r="O14" s="42" t="e">
        <f t="shared" si="8"/>
        <v>#DIV/0!</v>
      </c>
    </row>
    <row r="15" spans="1:15" x14ac:dyDescent="0.3">
      <c r="A15" s="2">
        <v>-170</v>
      </c>
      <c r="B15" s="14">
        <f>'RTD Resistance @ Temperature'!Q6</f>
        <v>0</v>
      </c>
      <c r="C15" s="10">
        <f t="shared" si="0"/>
        <v>5.0000000000000001E-4</v>
      </c>
      <c r="D15" s="10">
        <f t="shared" si="1"/>
        <v>0.5</v>
      </c>
      <c r="E15" s="10">
        <f t="shared" si="2"/>
        <v>0</v>
      </c>
      <c r="F15" s="10">
        <f t="shared" si="3"/>
        <v>0</v>
      </c>
      <c r="G15" s="10">
        <f t="shared" si="4"/>
        <v>0</v>
      </c>
      <c r="H15" s="133">
        <f t="shared" si="9"/>
        <v>0</v>
      </c>
      <c r="I15" s="133"/>
      <c r="J15" s="133">
        <f t="shared" si="10"/>
        <v>0</v>
      </c>
      <c r="K15" s="133"/>
      <c r="L15" s="39" t="e">
        <f t="shared" si="5"/>
        <v>#DIV/0!</v>
      </c>
      <c r="M15" s="6" t="e">
        <f t="shared" si="6"/>
        <v>#DIV/0!</v>
      </c>
      <c r="N15" s="39" t="e">
        <f t="shared" si="7"/>
        <v>#DIV/0!</v>
      </c>
      <c r="O15" s="42" t="e">
        <f t="shared" si="8"/>
        <v>#DIV/0!</v>
      </c>
    </row>
    <row r="16" spans="1:15" x14ac:dyDescent="0.3">
      <c r="A16" s="2">
        <v>-160</v>
      </c>
      <c r="B16" s="14">
        <f>'RTD Resistance @ Temperature'!Q7</f>
        <v>0</v>
      </c>
      <c r="C16" s="10">
        <f t="shared" si="0"/>
        <v>5.0000000000000001E-4</v>
      </c>
      <c r="D16" s="10">
        <f t="shared" si="1"/>
        <v>0.5</v>
      </c>
      <c r="E16" s="10">
        <f t="shared" si="2"/>
        <v>0</v>
      </c>
      <c r="F16" s="10">
        <f t="shared" si="3"/>
        <v>0</v>
      </c>
      <c r="G16" s="10">
        <f t="shared" si="4"/>
        <v>0</v>
      </c>
      <c r="H16" s="133">
        <f t="shared" si="9"/>
        <v>0</v>
      </c>
      <c r="I16" s="133"/>
      <c r="J16" s="133">
        <f t="shared" si="10"/>
        <v>0</v>
      </c>
      <c r="K16" s="133"/>
      <c r="L16" s="39" t="e">
        <f t="shared" si="5"/>
        <v>#DIV/0!</v>
      </c>
      <c r="M16" s="6" t="e">
        <f t="shared" si="6"/>
        <v>#DIV/0!</v>
      </c>
      <c r="N16" s="39" t="e">
        <f t="shared" si="7"/>
        <v>#DIV/0!</v>
      </c>
      <c r="O16" s="42" t="e">
        <f t="shared" si="8"/>
        <v>#DIV/0!</v>
      </c>
    </row>
    <row r="17" spans="1:16" x14ac:dyDescent="0.3">
      <c r="A17" s="2">
        <v>-150</v>
      </c>
      <c r="B17" s="14">
        <f>'RTD Resistance @ Temperature'!Q8</f>
        <v>0</v>
      </c>
      <c r="C17" s="10">
        <f t="shared" si="0"/>
        <v>5.0000000000000001E-4</v>
      </c>
      <c r="D17" s="10">
        <f t="shared" si="1"/>
        <v>0.5</v>
      </c>
      <c r="E17" s="10">
        <f t="shared" si="2"/>
        <v>0</v>
      </c>
      <c r="F17" s="10">
        <f t="shared" si="3"/>
        <v>0</v>
      </c>
      <c r="G17" s="10">
        <f t="shared" si="4"/>
        <v>0</v>
      </c>
      <c r="H17" s="133">
        <f t="shared" si="9"/>
        <v>0</v>
      </c>
      <c r="I17" s="133"/>
      <c r="J17" s="133">
        <f t="shared" si="10"/>
        <v>0</v>
      </c>
      <c r="K17" s="133"/>
      <c r="L17" s="39" t="e">
        <f t="shared" si="5"/>
        <v>#DIV/0!</v>
      </c>
      <c r="M17" s="6" t="e">
        <f t="shared" si="6"/>
        <v>#DIV/0!</v>
      </c>
      <c r="N17" s="39" t="e">
        <f t="shared" si="7"/>
        <v>#DIV/0!</v>
      </c>
      <c r="O17" s="42" t="e">
        <f t="shared" si="8"/>
        <v>#DIV/0!</v>
      </c>
    </row>
    <row r="18" spans="1:16" x14ac:dyDescent="0.3">
      <c r="A18" s="2">
        <v>-140</v>
      </c>
      <c r="B18" s="14">
        <f>'RTD Resistance @ Temperature'!Q9</f>
        <v>0</v>
      </c>
      <c r="C18" s="10">
        <f t="shared" si="0"/>
        <v>5.0000000000000001E-4</v>
      </c>
      <c r="D18" s="10">
        <f t="shared" si="1"/>
        <v>0.5</v>
      </c>
      <c r="E18" s="10">
        <f t="shared" si="2"/>
        <v>0</v>
      </c>
      <c r="F18" s="10">
        <f t="shared" si="3"/>
        <v>0</v>
      </c>
      <c r="G18" s="10">
        <f t="shared" si="4"/>
        <v>0</v>
      </c>
      <c r="H18" s="133">
        <f t="shared" si="9"/>
        <v>0</v>
      </c>
      <c r="I18" s="133"/>
      <c r="J18" s="133">
        <f t="shared" si="10"/>
        <v>0</v>
      </c>
      <c r="K18" s="133"/>
      <c r="L18" s="39" t="e">
        <f t="shared" si="5"/>
        <v>#DIV/0!</v>
      </c>
      <c r="M18" s="6" t="e">
        <f t="shared" si="6"/>
        <v>#DIV/0!</v>
      </c>
      <c r="N18" s="39" t="e">
        <f t="shared" si="7"/>
        <v>#DIV/0!</v>
      </c>
      <c r="O18" s="42" t="e">
        <f t="shared" si="8"/>
        <v>#DIV/0!</v>
      </c>
    </row>
    <row r="19" spans="1:16" x14ac:dyDescent="0.3">
      <c r="A19" s="2">
        <v>-130</v>
      </c>
      <c r="B19" s="14">
        <f>'RTD Resistance @ Temperature'!Q10</f>
        <v>0</v>
      </c>
      <c r="C19" s="10">
        <f t="shared" si="0"/>
        <v>5.0000000000000001E-4</v>
      </c>
      <c r="D19" s="10">
        <f t="shared" si="1"/>
        <v>0.5</v>
      </c>
      <c r="E19" s="10">
        <f t="shared" si="2"/>
        <v>0</v>
      </c>
      <c r="F19" s="10">
        <f t="shared" si="3"/>
        <v>0</v>
      </c>
      <c r="G19" s="10">
        <f t="shared" si="4"/>
        <v>0</v>
      </c>
      <c r="H19" s="133">
        <f t="shared" si="9"/>
        <v>0</v>
      </c>
      <c r="I19" s="133"/>
      <c r="J19" s="133">
        <f t="shared" si="10"/>
        <v>0</v>
      </c>
      <c r="K19" s="133"/>
      <c r="L19" s="39" t="e">
        <f t="shared" si="5"/>
        <v>#DIV/0!</v>
      </c>
      <c r="M19" s="6" t="e">
        <f t="shared" si="6"/>
        <v>#DIV/0!</v>
      </c>
      <c r="N19" s="39" t="e">
        <f t="shared" si="7"/>
        <v>#DIV/0!</v>
      </c>
      <c r="O19" s="42" t="e">
        <f t="shared" si="8"/>
        <v>#DIV/0!</v>
      </c>
    </row>
    <row r="20" spans="1:16" x14ac:dyDescent="0.3">
      <c r="A20" s="2">
        <v>-120</v>
      </c>
      <c r="B20" s="14">
        <f>'RTD Resistance @ Temperature'!Q11</f>
        <v>0</v>
      </c>
      <c r="C20" s="10">
        <f t="shared" si="0"/>
        <v>5.0000000000000001E-4</v>
      </c>
      <c r="D20" s="10">
        <f t="shared" si="1"/>
        <v>0.5</v>
      </c>
      <c r="E20" s="10">
        <f t="shared" si="2"/>
        <v>0</v>
      </c>
      <c r="F20" s="10">
        <f t="shared" si="3"/>
        <v>0</v>
      </c>
      <c r="G20" s="10">
        <f t="shared" si="4"/>
        <v>0</v>
      </c>
      <c r="H20" s="133">
        <f t="shared" si="9"/>
        <v>0</v>
      </c>
      <c r="I20" s="133"/>
      <c r="J20" s="133">
        <f t="shared" si="10"/>
        <v>0</v>
      </c>
      <c r="K20" s="133"/>
      <c r="L20" s="39" t="e">
        <f t="shared" si="5"/>
        <v>#DIV/0!</v>
      </c>
      <c r="M20" s="6" t="e">
        <f t="shared" si="6"/>
        <v>#DIV/0!</v>
      </c>
      <c r="N20" s="39" t="e">
        <f t="shared" si="7"/>
        <v>#DIV/0!</v>
      </c>
      <c r="O20" s="42" t="e">
        <f t="shared" si="8"/>
        <v>#DIV/0!</v>
      </c>
    </row>
    <row r="21" spans="1:16" x14ac:dyDescent="0.3">
      <c r="A21" s="2">
        <v>-110</v>
      </c>
      <c r="B21" s="14">
        <f>'RTD Resistance @ Temperature'!Q12</f>
        <v>0</v>
      </c>
      <c r="C21" s="10">
        <f t="shared" si="0"/>
        <v>5.0000000000000001E-4</v>
      </c>
      <c r="D21" s="10">
        <f t="shared" si="1"/>
        <v>0.5</v>
      </c>
      <c r="E21" s="10">
        <f t="shared" si="2"/>
        <v>0</v>
      </c>
      <c r="F21" s="10">
        <f t="shared" si="3"/>
        <v>0</v>
      </c>
      <c r="G21" s="10">
        <f t="shared" si="4"/>
        <v>0</v>
      </c>
      <c r="H21" s="133">
        <f t="shared" si="9"/>
        <v>0</v>
      </c>
      <c r="I21" s="133"/>
      <c r="J21" s="133">
        <f t="shared" si="10"/>
        <v>0</v>
      </c>
      <c r="K21" s="133"/>
      <c r="L21" s="39" t="e">
        <f t="shared" si="5"/>
        <v>#DIV/0!</v>
      </c>
      <c r="M21" s="6" t="e">
        <f t="shared" si="6"/>
        <v>#DIV/0!</v>
      </c>
      <c r="N21" s="39" t="e">
        <f t="shared" si="7"/>
        <v>#DIV/0!</v>
      </c>
      <c r="O21" s="42" t="e">
        <f t="shared" si="8"/>
        <v>#DIV/0!</v>
      </c>
    </row>
    <row r="22" spans="1:16" x14ac:dyDescent="0.3">
      <c r="A22" s="2">
        <v>-100</v>
      </c>
      <c r="B22" s="14">
        <f>'RTD Resistance @ Temperature'!Q13</f>
        <v>0</v>
      </c>
      <c r="C22" s="10">
        <f t="shared" si="0"/>
        <v>5.0000000000000001E-4</v>
      </c>
      <c r="D22" s="10">
        <f t="shared" si="1"/>
        <v>0.5</v>
      </c>
      <c r="E22" s="10">
        <f t="shared" si="2"/>
        <v>0</v>
      </c>
      <c r="F22" s="10">
        <f t="shared" si="3"/>
        <v>0</v>
      </c>
      <c r="G22" s="10">
        <f t="shared" si="4"/>
        <v>0</v>
      </c>
      <c r="H22" s="133">
        <f t="shared" si="9"/>
        <v>0</v>
      </c>
      <c r="I22" s="133"/>
      <c r="J22" s="133">
        <f t="shared" si="10"/>
        <v>0</v>
      </c>
      <c r="K22" s="133"/>
      <c r="L22" s="39" t="e">
        <f t="shared" si="5"/>
        <v>#DIV/0!</v>
      </c>
      <c r="M22" s="6" t="e">
        <f t="shared" si="6"/>
        <v>#DIV/0!</v>
      </c>
      <c r="N22" s="39" t="e">
        <f t="shared" si="7"/>
        <v>#DIV/0!</v>
      </c>
      <c r="O22" s="42" t="e">
        <f t="shared" si="8"/>
        <v>#DIV/0!</v>
      </c>
    </row>
    <row r="23" spans="1:16" x14ac:dyDescent="0.3">
      <c r="A23" s="2">
        <v>-90</v>
      </c>
      <c r="B23" s="14">
        <f>'RTD Resistance @ Temperature'!Q14</f>
        <v>0</v>
      </c>
      <c r="C23" s="10">
        <f t="shared" si="0"/>
        <v>5.0000000000000001E-4</v>
      </c>
      <c r="D23" s="10">
        <f t="shared" si="1"/>
        <v>0.5</v>
      </c>
      <c r="E23" s="10">
        <f t="shared" si="2"/>
        <v>0</v>
      </c>
      <c r="F23" s="10">
        <f t="shared" si="3"/>
        <v>0</v>
      </c>
      <c r="G23" s="10">
        <f t="shared" si="4"/>
        <v>0</v>
      </c>
      <c r="H23" s="133">
        <f t="shared" si="9"/>
        <v>0</v>
      </c>
      <c r="I23" s="133"/>
      <c r="J23" s="133">
        <f t="shared" si="10"/>
        <v>0</v>
      </c>
      <c r="K23" s="133"/>
      <c r="L23" s="39" t="e">
        <f t="shared" si="5"/>
        <v>#DIV/0!</v>
      </c>
      <c r="M23" s="6" t="e">
        <f t="shared" si="6"/>
        <v>#DIV/0!</v>
      </c>
      <c r="N23" s="39" t="e">
        <f t="shared" si="7"/>
        <v>#DIV/0!</v>
      </c>
      <c r="O23" s="42" t="e">
        <f t="shared" si="8"/>
        <v>#DIV/0!</v>
      </c>
    </row>
    <row r="24" spans="1:16" x14ac:dyDescent="0.3">
      <c r="A24" s="2">
        <v>-80</v>
      </c>
      <c r="B24" s="14">
        <f>'RTD Resistance @ Temperature'!Q15</f>
        <v>0</v>
      </c>
      <c r="C24" s="10">
        <f t="shared" si="0"/>
        <v>5.0000000000000001E-4</v>
      </c>
      <c r="D24" s="10">
        <f t="shared" si="1"/>
        <v>0.5</v>
      </c>
      <c r="E24" s="10">
        <f t="shared" si="2"/>
        <v>0</v>
      </c>
      <c r="F24" s="10">
        <f t="shared" si="3"/>
        <v>0</v>
      </c>
      <c r="G24" s="10">
        <f t="shared" si="4"/>
        <v>0</v>
      </c>
      <c r="H24" s="133">
        <f t="shared" si="9"/>
        <v>0</v>
      </c>
      <c r="I24" s="133"/>
      <c r="J24" s="133">
        <f t="shared" si="10"/>
        <v>0</v>
      </c>
      <c r="K24" s="133"/>
      <c r="L24" s="39" t="e">
        <f t="shared" si="5"/>
        <v>#DIV/0!</v>
      </c>
      <c r="M24" s="6" t="e">
        <f t="shared" si="6"/>
        <v>#DIV/0!</v>
      </c>
      <c r="N24" s="39" t="e">
        <f t="shared" si="7"/>
        <v>#DIV/0!</v>
      </c>
      <c r="O24" s="42" t="e">
        <f t="shared" si="8"/>
        <v>#DIV/0!</v>
      </c>
    </row>
    <row r="25" spans="1:16" x14ac:dyDescent="0.3">
      <c r="A25" s="2">
        <v>-70</v>
      </c>
      <c r="B25" s="14">
        <f>'RTD Resistance @ Temperature'!Q16</f>
        <v>0</v>
      </c>
      <c r="C25" s="10">
        <f t="shared" si="0"/>
        <v>5.0000000000000001E-4</v>
      </c>
      <c r="D25" s="10">
        <f t="shared" si="1"/>
        <v>0.5</v>
      </c>
      <c r="E25" s="10">
        <f t="shared" si="2"/>
        <v>0</v>
      </c>
      <c r="F25" s="10">
        <f t="shared" si="3"/>
        <v>0</v>
      </c>
      <c r="G25" s="10">
        <f t="shared" si="4"/>
        <v>0</v>
      </c>
      <c r="H25" s="133">
        <f t="shared" si="9"/>
        <v>0</v>
      </c>
      <c r="I25" s="133"/>
      <c r="J25" s="133">
        <f t="shared" si="10"/>
        <v>0</v>
      </c>
      <c r="K25" s="133"/>
      <c r="L25" s="39" t="e">
        <f t="shared" si="5"/>
        <v>#DIV/0!</v>
      </c>
      <c r="M25" s="6" t="e">
        <f t="shared" si="6"/>
        <v>#DIV/0!</v>
      </c>
      <c r="N25" s="39" t="e">
        <f t="shared" si="7"/>
        <v>#DIV/0!</v>
      </c>
      <c r="O25" s="42" t="e">
        <f t="shared" si="8"/>
        <v>#DIV/0!</v>
      </c>
    </row>
    <row r="26" spans="1:16" x14ac:dyDescent="0.3">
      <c r="A26" s="2">
        <v>-60</v>
      </c>
      <c r="B26" s="14">
        <f>'RTD Resistance @ Temperature'!Q17</f>
        <v>0</v>
      </c>
      <c r="C26" s="10">
        <f t="shared" si="0"/>
        <v>5.0000000000000001E-4</v>
      </c>
      <c r="D26" s="10">
        <f t="shared" si="1"/>
        <v>0.5</v>
      </c>
      <c r="E26" s="10">
        <f t="shared" si="2"/>
        <v>0</v>
      </c>
      <c r="F26" s="10">
        <f t="shared" si="3"/>
        <v>0</v>
      </c>
      <c r="G26" s="10">
        <f t="shared" si="4"/>
        <v>0</v>
      </c>
      <c r="H26" s="133">
        <f t="shared" si="9"/>
        <v>0</v>
      </c>
      <c r="I26" s="133"/>
      <c r="J26" s="133">
        <f t="shared" si="10"/>
        <v>0</v>
      </c>
      <c r="K26" s="133"/>
      <c r="L26" s="39" t="e">
        <f t="shared" si="5"/>
        <v>#DIV/0!</v>
      </c>
      <c r="M26" s="6" t="e">
        <f t="shared" si="6"/>
        <v>#DIV/0!</v>
      </c>
      <c r="N26" s="39" t="e">
        <f t="shared" si="7"/>
        <v>#DIV/0!</v>
      </c>
      <c r="O26" s="42" t="e">
        <f t="shared" si="8"/>
        <v>#DIV/0!</v>
      </c>
    </row>
    <row r="27" spans="1:16" x14ac:dyDescent="0.3">
      <c r="A27" s="2">
        <v>-50</v>
      </c>
      <c r="B27" s="14">
        <f>'RTD Resistance @ Temperature'!Q18</f>
        <v>0</v>
      </c>
      <c r="C27" s="10">
        <f t="shared" si="0"/>
        <v>5.0000000000000001E-4</v>
      </c>
      <c r="D27" s="10">
        <f t="shared" si="1"/>
        <v>0.5</v>
      </c>
      <c r="E27" s="10">
        <f t="shared" si="2"/>
        <v>0</v>
      </c>
      <c r="F27" s="10">
        <f t="shared" si="3"/>
        <v>0</v>
      </c>
      <c r="G27" s="10">
        <f t="shared" si="4"/>
        <v>0</v>
      </c>
      <c r="H27" s="133">
        <f t="shared" si="9"/>
        <v>0</v>
      </c>
      <c r="I27" s="133"/>
      <c r="J27" s="133">
        <f t="shared" si="10"/>
        <v>0</v>
      </c>
      <c r="K27" s="133"/>
      <c r="L27" s="39" t="e">
        <f t="shared" si="5"/>
        <v>#DIV/0!</v>
      </c>
      <c r="M27" s="6" t="e">
        <f t="shared" si="6"/>
        <v>#DIV/0!</v>
      </c>
      <c r="N27" s="39" t="e">
        <f t="shared" si="7"/>
        <v>#DIV/0!</v>
      </c>
      <c r="O27" s="42" t="e">
        <f t="shared" si="8"/>
        <v>#DIV/0!</v>
      </c>
    </row>
    <row r="28" spans="1:16" x14ac:dyDescent="0.3">
      <c r="A28" s="2">
        <v>-40</v>
      </c>
      <c r="B28" s="14">
        <f>'RTD Resistance @ Temperature'!Q19</f>
        <v>0</v>
      </c>
      <c r="C28" s="10">
        <f t="shared" si="0"/>
        <v>5.0000000000000001E-4</v>
      </c>
      <c r="D28" s="10">
        <f t="shared" si="1"/>
        <v>0.5</v>
      </c>
      <c r="E28" s="10">
        <f t="shared" si="2"/>
        <v>0</v>
      </c>
      <c r="F28" s="10">
        <f t="shared" si="3"/>
        <v>0</v>
      </c>
      <c r="G28" s="10">
        <f t="shared" si="4"/>
        <v>0</v>
      </c>
      <c r="H28" s="133">
        <f t="shared" si="9"/>
        <v>0</v>
      </c>
      <c r="I28" s="133"/>
      <c r="J28" s="133">
        <f t="shared" si="10"/>
        <v>0</v>
      </c>
      <c r="K28" s="133"/>
      <c r="L28" s="39" t="e">
        <f t="shared" si="5"/>
        <v>#DIV/0!</v>
      </c>
      <c r="M28" s="6" t="e">
        <f t="shared" si="6"/>
        <v>#DIV/0!</v>
      </c>
      <c r="N28" s="39" t="e">
        <f t="shared" si="7"/>
        <v>#DIV/0!</v>
      </c>
      <c r="O28" s="42" t="e">
        <f t="shared" si="8"/>
        <v>#DIV/0!</v>
      </c>
    </row>
    <row r="29" spans="1:16" x14ac:dyDescent="0.3">
      <c r="A29" s="2">
        <v>-30</v>
      </c>
      <c r="B29" s="14">
        <f>'RTD Resistance @ Temperature'!Q20</f>
        <v>0</v>
      </c>
      <c r="C29" s="10">
        <f t="shared" si="0"/>
        <v>5.0000000000000001E-4</v>
      </c>
      <c r="D29" s="10">
        <f t="shared" si="1"/>
        <v>0.5</v>
      </c>
      <c r="E29" s="10">
        <f t="shared" si="2"/>
        <v>0</v>
      </c>
      <c r="F29" s="10">
        <f t="shared" si="3"/>
        <v>0</v>
      </c>
      <c r="G29" s="10">
        <f t="shared" si="4"/>
        <v>0</v>
      </c>
      <c r="H29" s="133">
        <f t="shared" si="9"/>
        <v>0</v>
      </c>
      <c r="I29" s="133"/>
      <c r="J29" s="133">
        <f t="shared" si="10"/>
        <v>0</v>
      </c>
      <c r="K29" s="133"/>
      <c r="L29" s="39" t="e">
        <f t="shared" si="5"/>
        <v>#DIV/0!</v>
      </c>
      <c r="M29" s="6" t="e">
        <f t="shared" si="6"/>
        <v>#DIV/0!</v>
      </c>
      <c r="N29" s="39" t="e">
        <f t="shared" si="7"/>
        <v>#DIV/0!</v>
      </c>
      <c r="O29" s="42" t="e">
        <f t="shared" si="8"/>
        <v>#DIV/0!</v>
      </c>
    </row>
    <row r="30" spans="1:16" x14ac:dyDescent="0.3">
      <c r="A30" s="2">
        <v>-20</v>
      </c>
      <c r="B30" s="14">
        <f>'RTD Resistance @ Temperature'!Q21</f>
        <v>0</v>
      </c>
      <c r="C30" s="10">
        <f t="shared" si="0"/>
        <v>5.0000000000000001E-4</v>
      </c>
      <c r="D30" s="10">
        <f t="shared" si="1"/>
        <v>0.5</v>
      </c>
      <c r="E30" s="10">
        <f t="shared" si="2"/>
        <v>0</v>
      </c>
      <c r="F30" s="10">
        <f t="shared" si="3"/>
        <v>0</v>
      </c>
      <c r="G30" s="10">
        <f t="shared" si="4"/>
        <v>0</v>
      </c>
      <c r="H30" s="133">
        <f t="shared" si="9"/>
        <v>0</v>
      </c>
      <c r="I30" s="133"/>
      <c r="J30" s="133">
        <f t="shared" si="10"/>
        <v>0</v>
      </c>
      <c r="K30" s="133"/>
      <c r="L30" s="39" t="e">
        <f t="shared" si="5"/>
        <v>#DIV/0!</v>
      </c>
      <c r="M30" s="6" t="e">
        <f t="shared" si="6"/>
        <v>#DIV/0!</v>
      </c>
      <c r="N30" s="39" t="e">
        <f t="shared" si="7"/>
        <v>#DIV/0!</v>
      </c>
      <c r="O30" s="42" t="e">
        <f t="shared" si="8"/>
        <v>#DIV/0!</v>
      </c>
    </row>
    <row r="31" spans="1:16" x14ac:dyDescent="0.3">
      <c r="A31" s="2">
        <v>-10</v>
      </c>
      <c r="B31" s="14">
        <f>'RTD Resistance @ Temperature'!Q22</f>
        <v>0</v>
      </c>
      <c r="C31" s="10">
        <f t="shared" si="0"/>
        <v>5.0000000000000001E-4</v>
      </c>
      <c r="D31" s="10">
        <f t="shared" si="1"/>
        <v>0.5</v>
      </c>
      <c r="E31" s="10">
        <f t="shared" si="2"/>
        <v>0</v>
      </c>
      <c r="F31" s="10">
        <f t="shared" si="3"/>
        <v>0</v>
      </c>
      <c r="G31" s="10">
        <f t="shared" si="4"/>
        <v>0</v>
      </c>
      <c r="H31" s="133">
        <f t="shared" si="9"/>
        <v>0</v>
      </c>
      <c r="I31" s="133"/>
      <c r="J31" s="133">
        <f t="shared" si="10"/>
        <v>0</v>
      </c>
      <c r="K31" s="133"/>
      <c r="L31" s="39" t="e">
        <f t="shared" si="5"/>
        <v>#DIV/0!</v>
      </c>
      <c r="M31" s="6" t="e">
        <f t="shared" si="6"/>
        <v>#DIV/0!</v>
      </c>
      <c r="N31" s="39" t="e">
        <f t="shared" si="7"/>
        <v>#DIV/0!</v>
      </c>
      <c r="O31" s="42" t="e">
        <f t="shared" si="8"/>
        <v>#DIV/0!</v>
      </c>
    </row>
    <row r="32" spans="1:16" x14ac:dyDescent="0.3">
      <c r="A32" s="12">
        <v>0</v>
      </c>
      <c r="B32" s="51">
        <f>'RTD Resistance @ Temperature'!Q23</f>
        <v>0</v>
      </c>
      <c r="C32" s="52">
        <f t="shared" si="0"/>
        <v>5.0000000000000001E-4</v>
      </c>
      <c r="D32" s="52">
        <f t="shared" si="1"/>
        <v>0.5</v>
      </c>
      <c r="E32" s="52">
        <f t="shared" si="2"/>
        <v>0</v>
      </c>
      <c r="F32" s="52">
        <f t="shared" si="3"/>
        <v>0</v>
      </c>
      <c r="G32" s="52">
        <f t="shared" si="4"/>
        <v>0</v>
      </c>
      <c r="H32" s="135">
        <f t="shared" si="9"/>
        <v>0</v>
      </c>
      <c r="I32" s="135"/>
      <c r="J32" s="135">
        <f>(E33-E31)/(A33-A31)</f>
        <v>0</v>
      </c>
      <c r="K32" s="135"/>
      <c r="L32" s="53" t="e">
        <f t="shared" si="5"/>
        <v>#DIV/0!</v>
      </c>
      <c r="M32" s="54">
        <v>0</v>
      </c>
      <c r="N32" s="53" t="e">
        <f t="shared" si="7"/>
        <v>#DIV/0!</v>
      </c>
      <c r="O32" s="55">
        <v>0</v>
      </c>
      <c r="P32" s="13" t="s">
        <v>67</v>
      </c>
    </row>
    <row r="33" spans="1:16" x14ac:dyDescent="0.3">
      <c r="A33" s="12">
        <v>10</v>
      </c>
      <c r="B33" s="14">
        <f>'RTD Resistance @ Temperature'!Q24</f>
        <v>0</v>
      </c>
      <c r="C33" s="10">
        <f t="shared" si="0"/>
        <v>5.0000000000000001E-4</v>
      </c>
      <c r="D33" s="10">
        <f t="shared" si="1"/>
        <v>0.5</v>
      </c>
      <c r="E33" s="10">
        <f t="shared" si="2"/>
        <v>0</v>
      </c>
      <c r="F33" s="10">
        <f t="shared" si="3"/>
        <v>0</v>
      </c>
      <c r="G33" s="10">
        <f t="shared" si="4"/>
        <v>0</v>
      </c>
      <c r="H33" s="133">
        <f t="shared" si="9"/>
        <v>0</v>
      </c>
      <c r="I33" s="133"/>
      <c r="J33" s="133">
        <f t="shared" si="10"/>
        <v>0</v>
      </c>
      <c r="K33" s="133"/>
      <c r="L33" s="39" t="e">
        <f t="shared" si="5"/>
        <v>#DIV/0!</v>
      </c>
      <c r="M33" s="6" t="e">
        <f t="shared" si="6"/>
        <v>#DIV/0!</v>
      </c>
      <c r="N33" s="39" t="e">
        <f t="shared" si="7"/>
        <v>#DIV/0!</v>
      </c>
      <c r="O33" s="42" t="e">
        <f t="shared" si="8"/>
        <v>#DIV/0!</v>
      </c>
    </row>
    <row r="34" spans="1:16" x14ac:dyDescent="0.3">
      <c r="A34" s="12">
        <v>20</v>
      </c>
      <c r="B34" s="46">
        <f>'RTD Resistance @ Temperature'!Q25</f>
        <v>0</v>
      </c>
      <c r="C34" s="47">
        <f>$D$4 / ($D$5 + $D$6 + B34)</f>
        <v>5.0000000000000001E-4</v>
      </c>
      <c r="D34" s="47">
        <f t="shared" si="1"/>
        <v>0.5</v>
      </c>
      <c r="E34" s="47">
        <f t="shared" si="2"/>
        <v>0</v>
      </c>
      <c r="F34" s="47">
        <f>E34-E33</f>
        <v>0</v>
      </c>
      <c r="G34" s="47">
        <f t="shared" si="4"/>
        <v>0</v>
      </c>
      <c r="H34" s="136">
        <f t="shared" si="9"/>
        <v>0</v>
      </c>
      <c r="I34" s="136"/>
      <c r="J34" s="136">
        <f t="shared" si="10"/>
        <v>0</v>
      </c>
      <c r="K34" s="136"/>
      <c r="L34" s="48" t="e">
        <f t="shared" si="5"/>
        <v>#DIV/0!</v>
      </c>
      <c r="M34" s="49" t="e">
        <f t="shared" si="6"/>
        <v>#DIV/0!</v>
      </c>
      <c r="N34" s="48" t="e">
        <f t="shared" si="7"/>
        <v>#DIV/0!</v>
      </c>
      <c r="O34" s="50" t="e">
        <f t="shared" si="8"/>
        <v>#DIV/0!</v>
      </c>
      <c r="P34" s="1" t="s">
        <v>66</v>
      </c>
    </row>
    <row r="35" spans="1:16" x14ac:dyDescent="0.3">
      <c r="A35" s="12">
        <v>30</v>
      </c>
      <c r="B35" s="14">
        <f>'RTD Resistance @ Temperature'!Q26</f>
        <v>0</v>
      </c>
      <c r="C35" s="10">
        <f t="shared" si="0"/>
        <v>5.0000000000000001E-4</v>
      </c>
      <c r="D35" s="10">
        <f t="shared" si="1"/>
        <v>0.5</v>
      </c>
      <c r="E35" s="10">
        <f t="shared" si="2"/>
        <v>0</v>
      </c>
      <c r="F35" s="10">
        <f t="shared" si="3"/>
        <v>0</v>
      </c>
      <c r="G35" s="10">
        <f t="shared" si="4"/>
        <v>0</v>
      </c>
      <c r="H35" s="133">
        <f t="shared" si="9"/>
        <v>0</v>
      </c>
      <c r="I35" s="133"/>
      <c r="J35" s="133">
        <f t="shared" si="10"/>
        <v>0</v>
      </c>
      <c r="K35" s="133"/>
      <c r="L35" s="39" t="e">
        <f t="shared" si="5"/>
        <v>#DIV/0!</v>
      </c>
      <c r="M35" s="6" t="e">
        <f t="shared" si="6"/>
        <v>#DIV/0!</v>
      </c>
      <c r="N35" s="39" t="e">
        <f t="shared" si="7"/>
        <v>#DIV/0!</v>
      </c>
      <c r="O35" s="42" t="e">
        <f t="shared" si="8"/>
        <v>#DIV/0!</v>
      </c>
    </row>
    <row r="36" spans="1:16" x14ac:dyDescent="0.3">
      <c r="A36" s="12">
        <v>40</v>
      </c>
      <c r="B36" s="14">
        <f>'RTD Resistance @ Temperature'!Q27</f>
        <v>0</v>
      </c>
      <c r="C36" s="10">
        <f t="shared" si="0"/>
        <v>5.0000000000000001E-4</v>
      </c>
      <c r="D36" s="10">
        <f t="shared" si="1"/>
        <v>0.5</v>
      </c>
      <c r="E36" s="10">
        <f t="shared" si="2"/>
        <v>0</v>
      </c>
      <c r="F36" s="10">
        <f t="shared" si="3"/>
        <v>0</v>
      </c>
      <c r="G36" s="10">
        <f t="shared" si="4"/>
        <v>0</v>
      </c>
      <c r="H36" s="133">
        <f t="shared" si="9"/>
        <v>0</v>
      </c>
      <c r="I36" s="133"/>
      <c r="J36" s="133">
        <f t="shared" si="10"/>
        <v>0</v>
      </c>
      <c r="K36" s="133"/>
      <c r="L36" s="39" t="e">
        <f t="shared" si="5"/>
        <v>#DIV/0!</v>
      </c>
      <c r="M36" s="6" t="e">
        <f t="shared" si="6"/>
        <v>#DIV/0!</v>
      </c>
      <c r="N36" s="39" t="e">
        <f t="shared" si="7"/>
        <v>#DIV/0!</v>
      </c>
      <c r="O36" s="42" t="e">
        <f t="shared" si="8"/>
        <v>#DIV/0!</v>
      </c>
    </row>
    <row r="37" spans="1:16" x14ac:dyDescent="0.3">
      <c r="A37" s="12">
        <v>50</v>
      </c>
      <c r="B37" s="14">
        <f>'RTD Resistance @ Temperature'!Q28</f>
        <v>0</v>
      </c>
      <c r="C37" s="10">
        <f t="shared" si="0"/>
        <v>5.0000000000000001E-4</v>
      </c>
      <c r="D37" s="10">
        <f t="shared" si="1"/>
        <v>0.5</v>
      </c>
      <c r="E37" s="10">
        <f t="shared" si="2"/>
        <v>0</v>
      </c>
      <c r="F37" s="10">
        <f t="shared" si="3"/>
        <v>0</v>
      </c>
      <c r="G37" s="10">
        <f t="shared" si="4"/>
        <v>0</v>
      </c>
      <c r="H37" s="133">
        <f t="shared" si="9"/>
        <v>0</v>
      </c>
      <c r="I37" s="133"/>
      <c r="J37" s="133">
        <f t="shared" si="10"/>
        <v>0</v>
      </c>
      <c r="K37" s="133"/>
      <c r="L37" s="39" t="e">
        <f t="shared" si="5"/>
        <v>#DIV/0!</v>
      </c>
      <c r="M37" s="6" t="e">
        <f t="shared" si="6"/>
        <v>#DIV/0!</v>
      </c>
      <c r="N37" s="39" t="e">
        <f t="shared" si="7"/>
        <v>#DIV/0!</v>
      </c>
      <c r="O37" s="42" t="e">
        <f t="shared" si="8"/>
        <v>#DIV/0!</v>
      </c>
    </row>
    <row r="38" spans="1:16" x14ac:dyDescent="0.3">
      <c r="A38" s="12">
        <v>60</v>
      </c>
      <c r="B38" s="14">
        <f>'RTD Resistance @ Temperature'!Q29</f>
        <v>0</v>
      </c>
      <c r="C38" s="10">
        <f t="shared" si="0"/>
        <v>5.0000000000000001E-4</v>
      </c>
      <c r="D38" s="10">
        <f t="shared" si="1"/>
        <v>0.5</v>
      </c>
      <c r="E38" s="10">
        <f t="shared" si="2"/>
        <v>0</v>
      </c>
      <c r="F38" s="10">
        <f t="shared" si="3"/>
        <v>0</v>
      </c>
      <c r="G38" s="10">
        <f t="shared" si="4"/>
        <v>0</v>
      </c>
      <c r="H38" s="133">
        <f t="shared" si="9"/>
        <v>0</v>
      </c>
      <c r="I38" s="133"/>
      <c r="J38" s="133">
        <f t="shared" si="10"/>
        <v>0</v>
      </c>
      <c r="K38" s="133"/>
      <c r="L38" s="39" t="e">
        <f t="shared" si="5"/>
        <v>#DIV/0!</v>
      </c>
      <c r="M38" s="6" t="e">
        <f t="shared" si="6"/>
        <v>#DIV/0!</v>
      </c>
      <c r="N38" s="39" t="e">
        <f t="shared" si="7"/>
        <v>#DIV/0!</v>
      </c>
      <c r="O38" s="42" t="e">
        <f t="shared" si="8"/>
        <v>#DIV/0!</v>
      </c>
    </row>
    <row r="39" spans="1:16" x14ac:dyDescent="0.3">
      <c r="A39" s="12">
        <v>70</v>
      </c>
      <c r="B39" s="14">
        <f>'RTD Resistance @ Temperature'!Q30</f>
        <v>0</v>
      </c>
      <c r="C39" s="10">
        <f t="shared" si="0"/>
        <v>5.0000000000000001E-4</v>
      </c>
      <c r="D39" s="10">
        <f t="shared" si="1"/>
        <v>0.5</v>
      </c>
      <c r="E39" s="10">
        <f t="shared" si="2"/>
        <v>0</v>
      </c>
      <c r="F39" s="10">
        <f t="shared" si="3"/>
        <v>0</v>
      </c>
      <c r="G39" s="10">
        <f t="shared" si="4"/>
        <v>0</v>
      </c>
      <c r="H39" s="133">
        <f t="shared" si="9"/>
        <v>0</v>
      </c>
      <c r="I39" s="133"/>
      <c r="J39" s="133">
        <f t="shared" si="10"/>
        <v>0</v>
      </c>
      <c r="K39" s="133"/>
      <c r="L39" s="39" t="e">
        <f t="shared" si="5"/>
        <v>#DIV/0!</v>
      </c>
      <c r="M39" s="6" t="e">
        <f t="shared" si="6"/>
        <v>#DIV/0!</v>
      </c>
      <c r="N39" s="39" t="e">
        <f t="shared" si="7"/>
        <v>#DIV/0!</v>
      </c>
      <c r="O39" s="42" t="e">
        <f t="shared" si="8"/>
        <v>#DIV/0!</v>
      </c>
    </row>
    <row r="40" spans="1:16" x14ac:dyDescent="0.3">
      <c r="A40" s="12">
        <v>80</v>
      </c>
      <c r="B40" s="14">
        <f>'RTD Resistance @ Temperature'!Q31</f>
        <v>0</v>
      </c>
      <c r="C40" s="10">
        <f t="shared" si="0"/>
        <v>5.0000000000000001E-4</v>
      </c>
      <c r="D40" s="10">
        <f t="shared" si="1"/>
        <v>0.5</v>
      </c>
      <c r="E40" s="10">
        <f t="shared" si="2"/>
        <v>0</v>
      </c>
      <c r="F40" s="10">
        <f t="shared" si="3"/>
        <v>0</v>
      </c>
      <c r="G40" s="10">
        <f t="shared" si="4"/>
        <v>0</v>
      </c>
      <c r="H40" s="133">
        <f t="shared" si="9"/>
        <v>0</v>
      </c>
      <c r="I40" s="133"/>
      <c r="J40" s="133">
        <f t="shared" si="10"/>
        <v>0</v>
      </c>
      <c r="K40" s="133"/>
      <c r="L40" s="39" t="e">
        <f t="shared" si="5"/>
        <v>#DIV/0!</v>
      </c>
      <c r="M40" s="6" t="e">
        <f t="shared" si="6"/>
        <v>#DIV/0!</v>
      </c>
      <c r="N40" s="39" t="e">
        <f t="shared" si="7"/>
        <v>#DIV/0!</v>
      </c>
      <c r="O40" s="42" t="e">
        <f t="shared" si="8"/>
        <v>#DIV/0!</v>
      </c>
    </row>
    <row r="41" spans="1:16" x14ac:dyDescent="0.3">
      <c r="A41" s="12">
        <v>90</v>
      </c>
      <c r="B41" s="14">
        <f>'RTD Resistance @ Temperature'!Q32</f>
        <v>0</v>
      </c>
      <c r="C41" s="10">
        <f t="shared" si="0"/>
        <v>5.0000000000000001E-4</v>
      </c>
      <c r="D41" s="10">
        <f t="shared" si="1"/>
        <v>0.5</v>
      </c>
      <c r="E41" s="10">
        <f t="shared" si="2"/>
        <v>0</v>
      </c>
      <c r="F41" s="10">
        <f t="shared" si="3"/>
        <v>0</v>
      </c>
      <c r="G41" s="10">
        <f t="shared" si="4"/>
        <v>0</v>
      </c>
      <c r="H41" s="133">
        <f t="shared" si="9"/>
        <v>0</v>
      </c>
      <c r="I41" s="133"/>
      <c r="J41" s="133">
        <f t="shared" si="10"/>
        <v>0</v>
      </c>
      <c r="K41" s="133"/>
      <c r="L41" s="39" t="e">
        <f t="shared" si="5"/>
        <v>#DIV/0!</v>
      </c>
      <c r="M41" s="6" t="e">
        <f t="shared" si="6"/>
        <v>#DIV/0!</v>
      </c>
      <c r="N41" s="39" t="e">
        <f t="shared" si="7"/>
        <v>#DIV/0!</v>
      </c>
      <c r="O41" s="42" t="e">
        <f t="shared" si="8"/>
        <v>#DIV/0!</v>
      </c>
    </row>
    <row r="42" spans="1:16" x14ac:dyDescent="0.3">
      <c r="A42" s="12">
        <v>100</v>
      </c>
      <c r="B42" s="14">
        <f>'RTD Resistance @ Temperature'!Q33</f>
        <v>0</v>
      </c>
      <c r="C42" s="10">
        <f t="shared" si="0"/>
        <v>5.0000000000000001E-4</v>
      </c>
      <c r="D42" s="10">
        <f t="shared" si="1"/>
        <v>0.5</v>
      </c>
      <c r="E42" s="10">
        <f t="shared" si="2"/>
        <v>0</v>
      </c>
      <c r="F42" s="10">
        <f t="shared" si="3"/>
        <v>0</v>
      </c>
      <c r="G42" s="10">
        <f t="shared" si="4"/>
        <v>0</v>
      </c>
      <c r="H42" s="133">
        <f t="shared" si="9"/>
        <v>0</v>
      </c>
      <c r="I42" s="133"/>
      <c r="J42" s="133">
        <f t="shared" si="10"/>
        <v>0</v>
      </c>
      <c r="K42" s="133"/>
      <c r="L42" s="39" t="e">
        <f t="shared" si="5"/>
        <v>#DIV/0!</v>
      </c>
      <c r="M42" s="6" t="e">
        <f t="shared" si="6"/>
        <v>#DIV/0!</v>
      </c>
      <c r="N42" s="39" t="e">
        <f t="shared" si="7"/>
        <v>#DIV/0!</v>
      </c>
      <c r="O42" s="42" t="e">
        <f t="shared" si="8"/>
        <v>#DIV/0!</v>
      </c>
    </row>
    <row r="43" spans="1:16" x14ac:dyDescent="0.3">
      <c r="A43" s="12">
        <v>110</v>
      </c>
      <c r="B43" s="14">
        <f>'RTD Resistance @ Temperature'!Q34</f>
        <v>0</v>
      </c>
      <c r="C43" s="10">
        <f t="shared" si="0"/>
        <v>5.0000000000000001E-4</v>
      </c>
      <c r="D43" s="10">
        <f t="shared" si="1"/>
        <v>0.5</v>
      </c>
      <c r="E43" s="10">
        <f t="shared" si="2"/>
        <v>0</v>
      </c>
      <c r="F43" s="10">
        <f t="shared" si="3"/>
        <v>0</v>
      </c>
      <c r="G43" s="10">
        <f t="shared" si="4"/>
        <v>0</v>
      </c>
      <c r="H43" s="133">
        <f t="shared" si="9"/>
        <v>0</v>
      </c>
      <c r="I43" s="133"/>
      <c r="J43" s="133">
        <f t="shared" si="10"/>
        <v>0</v>
      </c>
      <c r="K43" s="133"/>
      <c r="L43" s="39" t="e">
        <f t="shared" si="5"/>
        <v>#DIV/0!</v>
      </c>
      <c r="M43" s="6" t="e">
        <f t="shared" si="6"/>
        <v>#DIV/0!</v>
      </c>
      <c r="N43" s="39" t="e">
        <f t="shared" si="7"/>
        <v>#DIV/0!</v>
      </c>
      <c r="O43" s="42" t="e">
        <f t="shared" si="8"/>
        <v>#DIV/0!</v>
      </c>
    </row>
    <row r="44" spans="1:16" x14ac:dyDescent="0.3">
      <c r="A44" s="12">
        <v>120</v>
      </c>
      <c r="B44" s="14">
        <f>'RTD Resistance @ Temperature'!Q35</f>
        <v>0</v>
      </c>
      <c r="C44" s="10">
        <f t="shared" si="0"/>
        <v>5.0000000000000001E-4</v>
      </c>
      <c r="D44" s="10">
        <f t="shared" si="1"/>
        <v>0.5</v>
      </c>
      <c r="E44" s="10">
        <f t="shared" si="2"/>
        <v>0</v>
      </c>
      <c r="F44" s="10">
        <f t="shared" si="3"/>
        <v>0</v>
      </c>
      <c r="G44" s="10">
        <f t="shared" si="4"/>
        <v>0</v>
      </c>
      <c r="H44" s="133">
        <f t="shared" si="9"/>
        <v>0</v>
      </c>
      <c r="I44" s="133"/>
      <c r="J44" s="133">
        <f t="shared" si="10"/>
        <v>0</v>
      </c>
      <c r="K44" s="133"/>
      <c r="L44" s="39" t="e">
        <f t="shared" si="5"/>
        <v>#DIV/0!</v>
      </c>
      <c r="M44" s="6" t="e">
        <f t="shared" si="6"/>
        <v>#DIV/0!</v>
      </c>
      <c r="N44" s="39" t="e">
        <f t="shared" si="7"/>
        <v>#DIV/0!</v>
      </c>
      <c r="O44" s="42" t="e">
        <f t="shared" si="8"/>
        <v>#DIV/0!</v>
      </c>
    </row>
    <row r="45" spans="1:16" x14ac:dyDescent="0.3">
      <c r="A45" s="12">
        <v>130</v>
      </c>
      <c r="B45" s="14">
        <f>'RTD Resistance @ Temperature'!Q36</f>
        <v>0</v>
      </c>
      <c r="C45" s="10">
        <f t="shared" si="0"/>
        <v>5.0000000000000001E-4</v>
      </c>
      <c r="D45" s="10">
        <f t="shared" si="1"/>
        <v>0.5</v>
      </c>
      <c r="E45" s="10">
        <f t="shared" si="2"/>
        <v>0</v>
      </c>
      <c r="F45" s="10">
        <f t="shared" si="3"/>
        <v>0</v>
      </c>
      <c r="G45" s="10">
        <f t="shared" si="4"/>
        <v>0</v>
      </c>
      <c r="H45" s="133">
        <f t="shared" si="9"/>
        <v>0</v>
      </c>
      <c r="I45" s="133"/>
      <c r="J45" s="133">
        <f t="shared" si="10"/>
        <v>0</v>
      </c>
      <c r="K45" s="133"/>
      <c r="L45" s="39" t="e">
        <f t="shared" si="5"/>
        <v>#DIV/0!</v>
      </c>
      <c r="M45" s="6" t="e">
        <f t="shared" si="6"/>
        <v>#DIV/0!</v>
      </c>
      <c r="N45" s="39" t="e">
        <f>($E45-$M$2)/$M$7</f>
        <v>#DIV/0!</v>
      </c>
      <c r="O45" s="42" t="e">
        <f t="shared" si="8"/>
        <v>#DIV/0!</v>
      </c>
    </row>
    <row r="46" spans="1:16" x14ac:dyDescent="0.3">
      <c r="A46" s="12">
        <v>140</v>
      </c>
      <c r="B46" s="14">
        <f>'RTD Resistance @ Temperature'!Q37</f>
        <v>0</v>
      </c>
      <c r="C46" s="10">
        <f t="shared" si="0"/>
        <v>5.0000000000000001E-4</v>
      </c>
      <c r="D46" s="10">
        <f t="shared" si="1"/>
        <v>0.5</v>
      </c>
      <c r="E46" s="10">
        <f t="shared" si="2"/>
        <v>0</v>
      </c>
      <c r="F46" s="10">
        <f t="shared" si="3"/>
        <v>0</v>
      </c>
      <c r="G46" s="10">
        <f t="shared" si="4"/>
        <v>0</v>
      </c>
      <c r="H46" s="133">
        <f t="shared" si="9"/>
        <v>0</v>
      </c>
      <c r="I46" s="133"/>
      <c r="J46" s="133">
        <f t="shared" si="10"/>
        <v>0</v>
      </c>
      <c r="K46" s="133"/>
      <c r="L46" s="39" t="e">
        <f t="shared" si="5"/>
        <v>#DIV/0!</v>
      </c>
      <c r="M46" s="6" t="e">
        <f t="shared" si="6"/>
        <v>#DIV/0!</v>
      </c>
      <c r="N46" s="39" t="e">
        <f t="shared" si="7"/>
        <v>#DIV/0!</v>
      </c>
      <c r="O46" s="42" t="e">
        <f t="shared" si="8"/>
        <v>#DIV/0!</v>
      </c>
    </row>
    <row r="47" spans="1:16" x14ac:dyDescent="0.3">
      <c r="A47" s="12">
        <v>150</v>
      </c>
      <c r="B47" s="14">
        <f>'RTD Resistance @ Temperature'!Q38</f>
        <v>0</v>
      </c>
      <c r="C47" s="10">
        <f t="shared" si="0"/>
        <v>5.0000000000000001E-4</v>
      </c>
      <c r="D47" s="10">
        <f t="shared" si="1"/>
        <v>0.5</v>
      </c>
      <c r="E47" s="10">
        <f t="shared" si="2"/>
        <v>0</v>
      </c>
      <c r="F47" s="10">
        <f t="shared" si="3"/>
        <v>0</v>
      </c>
      <c r="G47" s="10">
        <f t="shared" si="4"/>
        <v>0</v>
      </c>
      <c r="H47" s="133">
        <f t="shared" si="9"/>
        <v>0</v>
      </c>
      <c r="I47" s="133"/>
      <c r="J47" s="133">
        <f t="shared" si="10"/>
        <v>0</v>
      </c>
      <c r="K47" s="133"/>
      <c r="L47" s="39" t="e">
        <f t="shared" si="5"/>
        <v>#DIV/0!</v>
      </c>
      <c r="M47" s="6" t="e">
        <f t="shared" si="6"/>
        <v>#DIV/0!</v>
      </c>
      <c r="N47" s="39" t="e">
        <f t="shared" si="7"/>
        <v>#DIV/0!</v>
      </c>
      <c r="O47" s="42" t="e">
        <f t="shared" si="8"/>
        <v>#DIV/0!</v>
      </c>
    </row>
    <row r="48" spans="1:16" x14ac:dyDescent="0.3">
      <c r="A48" s="12">
        <v>160</v>
      </c>
      <c r="B48" s="14">
        <f>'RTD Resistance @ Temperature'!Q39</f>
        <v>0</v>
      </c>
      <c r="C48" s="10">
        <f t="shared" si="0"/>
        <v>5.0000000000000001E-4</v>
      </c>
      <c r="D48" s="10">
        <f t="shared" si="1"/>
        <v>0.5</v>
      </c>
      <c r="E48" s="10">
        <f t="shared" si="2"/>
        <v>0</v>
      </c>
      <c r="F48" s="10">
        <f t="shared" si="3"/>
        <v>0</v>
      </c>
      <c r="G48" s="10">
        <f t="shared" si="4"/>
        <v>0</v>
      </c>
      <c r="H48" s="133">
        <f t="shared" si="9"/>
        <v>0</v>
      </c>
      <c r="I48" s="133"/>
      <c r="J48" s="133">
        <f t="shared" si="10"/>
        <v>0</v>
      </c>
      <c r="K48" s="133"/>
      <c r="L48" s="39" t="e">
        <f t="shared" si="5"/>
        <v>#DIV/0!</v>
      </c>
      <c r="M48" s="6" t="e">
        <f t="shared" si="6"/>
        <v>#DIV/0!</v>
      </c>
      <c r="N48" s="39" t="e">
        <f t="shared" si="7"/>
        <v>#DIV/0!</v>
      </c>
      <c r="O48" s="42" t="e">
        <f t="shared" si="8"/>
        <v>#DIV/0!</v>
      </c>
    </row>
    <row r="49" spans="1:15" x14ac:dyDescent="0.3">
      <c r="A49" s="12">
        <v>170</v>
      </c>
      <c r="B49" s="14">
        <f>'RTD Resistance @ Temperature'!Q40</f>
        <v>0</v>
      </c>
      <c r="C49" s="10">
        <f t="shared" si="0"/>
        <v>5.0000000000000001E-4</v>
      </c>
      <c r="D49" s="10">
        <f t="shared" si="1"/>
        <v>0.5</v>
      </c>
      <c r="E49" s="10">
        <f t="shared" si="2"/>
        <v>0</v>
      </c>
      <c r="F49" s="10">
        <f t="shared" si="3"/>
        <v>0</v>
      </c>
      <c r="G49" s="10">
        <f t="shared" si="4"/>
        <v>0</v>
      </c>
      <c r="H49" s="133">
        <f t="shared" si="9"/>
        <v>0</v>
      </c>
      <c r="I49" s="133"/>
      <c r="J49" s="133">
        <f t="shared" si="10"/>
        <v>0</v>
      </c>
      <c r="K49" s="133"/>
      <c r="L49" s="39" t="e">
        <f t="shared" si="5"/>
        <v>#DIV/0!</v>
      </c>
      <c r="M49" s="6" t="e">
        <f t="shared" si="6"/>
        <v>#DIV/0!</v>
      </c>
      <c r="N49" s="39" t="e">
        <f t="shared" si="7"/>
        <v>#DIV/0!</v>
      </c>
      <c r="O49" s="42" t="e">
        <f t="shared" si="8"/>
        <v>#DIV/0!</v>
      </c>
    </row>
    <row r="50" spans="1:15" x14ac:dyDescent="0.3">
      <c r="A50" s="12">
        <v>180</v>
      </c>
      <c r="B50" s="14">
        <f>'RTD Resistance @ Temperature'!Q41</f>
        <v>0</v>
      </c>
      <c r="C50" s="10">
        <f t="shared" si="0"/>
        <v>5.0000000000000001E-4</v>
      </c>
      <c r="D50" s="10">
        <f t="shared" si="1"/>
        <v>0.5</v>
      </c>
      <c r="E50" s="10">
        <f t="shared" si="2"/>
        <v>0</v>
      </c>
      <c r="F50" s="10">
        <f t="shared" si="3"/>
        <v>0</v>
      </c>
      <c r="G50" s="10">
        <f t="shared" si="4"/>
        <v>0</v>
      </c>
      <c r="H50" s="133">
        <f t="shared" si="9"/>
        <v>0</v>
      </c>
      <c r="I50" s="133"/>
      <c r="J50" s="133">
        <f t="shared" si="10"/>
        <v>0</v>
      </c>
      <c r="K50" s="133"/>
      <c r="L50" s="39" t="e">
        <f t="shared" si="5"/>
        <v>#DIV/0!</v>
      </c>
      <c r="M50" s="6" t="e">
        <f t="shared" si="6"/>
        <v>#DIV/0!</v>
      </c>
      <c r="N50" s="39" t="e">
        <f t="shared" si="7"/>
        <v>#DIV/0!</v>
      </c>
      <c r="O50" s="42" t="e">
        <f t="shared" si="8"/>
        <v>#DIV/0!</v>
      </c>
    </row>
    <row r="51" spans="1:15" x14ac:dyDescent="0.3">
      <c r="A51" s="12">
        <v>190</v>
      </c>
      <c r="B51" s="14">
        <f>'RTD Resistance @ Temperature'!Q42</f>
        <v>0</v>
      </c>
      <c r="C51" s="10">
        <f t="shared" si="0"/>
        <v>5.0000000000000001E-4</v>
      </c>
      <c r="D51" s="10">
        <f t="shared" si="1"/>
        <v>0.5</v>
      </c>
      <c r="E51" s="10">
        <f t="shared" si="2"/>
        <v>0</v>
      </c>
      <c r="F51" s="10">
        <f t="shared" si="3"/>
        <v>0</v>
      </c>
      <c r="G51" s="10">
        <f t="shared" si="4"/>
        <v>0</v>
      </c>
      <c r="H51" s="133">
        <f t="shared" si="9"/>
        <v>0</v>
      </c>
      <c r="I51" s="133"/>
      <c r="J51" s="133">
        <f t="shared" si="10"/>
        <v>0</v>
      </c>
      <c r="K51" s="133"/>
      <c r="L51" s="39" t="e">
        <f t="shared" si="5"/>
        <v>#DIV/0!</v>
      </c>
      <c r="M51" s="6" t="e">
        <f t="shared" si="6"/>
        <v>#DIV/0!</v>
      </c>
      <c r="N51" s="39" t="e">
        <f t="shared" si="7"/>
        <v>#DIV/0!</v>
      </c>
      <c r="O51" s="42" t="e">
        <f t="shared" si="8"/>
        <v>#DIV/0!</v>
      </c>
    </row>
    <row r="52" spans="1:15" x14ac:dyDescent="0.3">
      <c r="A52" s="12">
        <v>200</v>
      </c>
      <c r="B52" s="14">
        <f>'RTD Resistance @ Temperature'!Q43</f>
        <v>0</v>
      </c>
      <c r="C52" s="10">
        <f t="shared" si="0"/>
        <v>5.0000000000000001E-4</v>
      </c>
      <c r="D52" s="10">
        <f t="shared" si="1"/>
        <v>0.5</v>
      </c>
      <c r="E52" s="10">
        <f t="shared" si="2"/>
        <v>0</v>
      </c>
      <c r="F52" s="10">
        <f t="shared" si="3"/>
        <v>0</v>
      </c>
      <c r="G52" s="10">
        <f t="shared" si="4"/>
        <v>0</v>
      </c>
      <c r="H52" s="133">
        <f t="shared" si="9"/>
        <v>0</v>
      </c>
      <c r="I52" s="133"/>
      <c r="J52" s="133">
        <f t="shared" si="10"/>
        <v>0</v>
      </c>
      <c r="K52" s="133"/>
      <c r="L52" s="39" t="e">
        <f t="shared" si="5"/>
        <v>#DIV/0!</v>
      </c>
      <c r="M52" s="6" t="e">
        <f t="shared" si="6"/>
        <v>#DIV/0!</v>
      </c>
      <c r="N52" s="39" t="e">
        <f t="shared" si="7"/>
        <v>#DIV/0!</v>
      </c>
      <c r="O52" s="42" t="e">
        <f t="shared" si="8"/>
        <v>#DIV/0!</v>
      </c>
    </row>
    <row r="53" spans="1:15" x14ac:dyDescent="0.3">
      <c r="A53" s="12">
        <v>210</v>
      </c>
      <c r="B53" s="14">
        <f>'RTD Resistance @ Temperature'!Q44</f>
        <v>0</v>
      </c>
      <c r="C53" s="10">
        <f t="shared" si="0"/>
        <v>5.0000000000000001E-4</v>
      </c>
      <c r="D53" s="10">
        <f t="shared" si="1"/>
        <v>0.5</v>
      </c>
      <c r="E53" s="10">
        <f t="shared" si="2"/>
        <v>0</v>
      </c>
      <c r="F53" s="10">
        <f t="shared" si="3"/>
        <v>0</v>
      </c>
      <c r="G53" s="10">
        <f t="shared" si="4"/>
        <v>0</v>
      </c>
      <c r="H53" s="133">
        <f t="shared" si="9"/>
        <v>0</v>
      </c>
      <c r="I53" s="133"/>
      <c r="J53" s="133">
        <f t="shared" si="10"/>
        <v>0</v>
      </c>
      <c r="K53" s="133"/>
      <c r="L53" s="39" t="e">
        <f t="shared" si="5"/>
        <v>#DIV/0!</v>
      </c>
      <c r="M53" s="6" t="e">
        <f t="shared" si="6"/>
        <v>#DIV/0!</v>
      </c>
      <c r="N53" s="39" t="e">
        <f t="shared" si="7"/>
        <v>#DIV/0!</v>
      </c>
      <c r="O53" s="42" t="e">
        <f t="shared" si="8"/>
        <v>#DIV/0!</v>
      </c>
    </row>
    <row r="54" spans="1:15" x14ac:dyDescent="0.3">
      <c r="A54" s="12">
        <v>220</v>
      </c>
      <c r="B54" s="14">
        <f>'RTD Resistance @ Temperature'!Q45</f>
        <v>0</v>
      </c>
      <c r="C54" s="10">
        <f t="shared" si="0"/>
        <v>5.0000000000000001E-4</v>
      </c>
      <c r="D54" s="10">
        <f t="shared" si="1"/>
        <v>0.5</v>
      </c>
      <c r="E54" s="10">
        <f t="shared" si="2"/>
        <v>0</v>
      </c>
      <c r="F54" s="10">
        <f t="shared" si="3"/>
        <v>0</v>
      </c>
      <c r="G54" s="10">
        <f t="shared" si="4"/>
        <v>0</v>
      </c>
      <c r="H54" s="133">
        <f t="shared" si="9"/>
        <v>0</v>
      </c>
      <c r="I54" s="133"/>
      <c r="J54" s="133">
        <f t="shared" si="10"/>
        <v>0</v>
      </c>
      <c r="K54" s="133"/>
      <c r="L54" s="39" t="e">
        <f t="shared" si="5"/>
        <v>#DIV/0!</v>
      </c>
      <c r="M54" s="6" t="e">
        <f t="shared" si="6"/>
        <v>#DIV/0!</v>
      </c>
      <c r="N54" s="39" t="e">
        <f t="shared" si="7"/>
        <v>#DIV/0!</v>
      </c>
      <c r="O54" s="42" t="e">
        <f t="shared" si="8"/>
        <v>#DIV/0!</v>
      </c>
    </row>
    <row r="55" spans="1:15" x14ac:dyDescent="0.3">
      <c r="A55" s="12">
        <v>230</v>
      </c>
      <c r="B55" s="14">
        <f>'RTD Resistance @ Temperature'!Q46</f>
        <v>0</v>
      </c>
      <c r="C55" s="10">
        <f t="shared" si="0"/>
        <v>5.0000000000000001E-4</v>
      </c>
      <c r="D55" s="10">
        <f t="shared" si="1"/>
        <v>0.5</v>
      </c>
      <c r="E55" s="10">
        <f t="shared" si="2"/>
        <v>0</v>
      </c>
      <c r="F55" s="10">
        <f t="shared" si="3"/>
        <v>0</v>
      </c>
      <c r="G55" s="10">
        <f t="shared" si="4"/>
        <v>0</v>
      </c>
      <c r="H55" s="133">
        <f t="shared" si="9"/>
        <v>0</v>
      </c>
      <c r="I55" s="133"/>
      <c r="J55" s="133">
        <f t="shared" si="10"/>
        <v>0</v>
      </c>
      <c r="K55" s="133"/>
      <c r="L55" s="39" t="e">
        <f t="shared" si="5"/>
        <v>#DIV/0!</v>
      </c>
      <c r="M55" s="6" t="e">
        <f t="shared" si="6"/>
        <v>#DIV/0!</v>
      </c>
      <c r="N55" s="39" t="e">
        <f t="shared" si="7"/>
        <v>#DIV/0!</v>
      </c>
      <c r="O55" s="42" t="e">
        <f t="shared" si="8"/>
        <v>#DIV/0!</v>
      </c>
    </row>
    <row r="56" spans="1:15" x14ac:dyDescent="0.3">
      <c r="A56" s="12">
        <v>240</v>
      </c>
      <c r="B56" s="14">
        <f>'RTD Resistance @ Temperature'!Q47</f>
        <v>0</v>
      </c>
      <c r="C56" s="10">
        <f t="shared" si="0"/>
        <v>5.0000000000000001E-4</v>
      </c>
      <c r="D56" s="10">
        <f t="shared" si="1"/>
        <v>0.5</v>
      </c>
      <c r="E56" s="10">
        <f t="shared" si="2"/>
        <v>0</v>
      </c>
      <c r="F56" s="10">
        <f t="shared" si="3"/>
        <v>0</v>
      </c>
      <c r="G56" s="10">
        <f t="shared" si="4"/>
        <v>0</v>
      </c>
      <c r="H56" s="133">
        <f t="shared" si="9"/>
        <v>0</v>
      </c>
      <c r="I56" s="133"/>
      <c r="J56" s="133">
        <f t="shared" si="10"/>
        <v>0</v>
      </c>
      <c r="K56" s="133"/>
      <c r="L56" s="39" t="e">
        <f t="shared" si="5"/>
        <v>#DIV/0!</v>
      </c>
      <c r="M56" s="6" t="e">
        <f t="shared" si="6"/>
        <v>#DIV/0!</v>
      </c>
      <c r="N56" s="39" t="e">
        <f t="shared" si="7"/>
        <v>#DIV/0!</v>
      </c>
      <c r="O56" s="42" t="e">
        <f t="shared" si="8"/>
        <v>#DIV/0!</v>
      </c>
    </row>
    <row r="57" spans="1:15" x14ac:dyDescent="0.3">
      <c r="A57" s="12">
        <v>250</v>
      </c>
      <c r="B57" s="14">
        <f>'RTD Resistance @ Temperature'!Q48</f>
        <v>0</v>
      </c>
      <c r="C57" s="10">
        <f t="shared" si="0"/>
        <v>5.0000000000000001E-4</v>
      </c>
      <c r="D57" s="10">
        <f t="shared" si="1"/>
        <v>0.5</v>
      </c>
      <c r="E57" s="10">
        <f t="shared" si="2"/>
        <v>0</v>
      </c>
      <c r="F57" s="10">
        <f t="shared" si="3"/>
        <v>0</v>
      </c>
      <c r="G57" s="10">
        <f t="shared" si="4"/>
        <v>0</v>
      </c>
      <c r="H57" s="133">
        <f t="shared" si="9"/>
        <v>0</v>
      </c>
      <c r="I57" s="133"/>
      <c r="J57" s="133">
        <f t="shared" si="10"/>
        <v>0</v>
      </c>
      <c r="K57" s="133"/>
      <c r="L57" s="39" t="e">
        <f t="shared" si="5"/>
        <v>#DIV/0!</v>
      </c>
      <c r="M57" s="6" t="e">
        <f t="shared" si="6"/>
        <v>#DIV/0!</v>
      </c>
      <c r="N57" s="39" t="e">
        <f t="shared" si="7"/>
        <v>#DIV/0!</v>
      </c>
      <c r="O57" s="42" t="e">
        <f t="shared" si="8"/>
        <v>#DIV/0!</v>
      </c>
    </row>
    <row r="58" spans="1:15" x14ac:dyDescent="0.3">
      <c r="A58" s="12">
        <v>260</v>
      </c>
      <c r="B58" s="14">
        <f>'RTD Resistance @ Temperature'!Q49</f>
        <v>0</v>
      </c>
      <c r="C58" s="10">
        <f t="shared" si="0"/>
        <v>5.0000000000000001E-4</v>
      </c>
      <c r="D58" s="10">
        <f t="shared" si="1"/>
        <v>0.5</v>
      </c>
      <c r="E58" s="10">
        <f t="shared" si="2"/>
        <v>0</v>
      </c>
      <c r="F58" s="10">
        <f t="shared" si="3"/>
        <v>0</v>
      </c>
      <c r="G58" s="10">
        <f t="shared" si="4"/>
        <v>0</v>
      </c>
      <c r="H58" s="133">
        <f t="shared" si="9"/>
        <v>0</v>
      </c>
      <c r="I58" s="133"/>
      <c r="J58" s="133">
        <f t="shared" si="10"/>
        <v>0</v>
      </c>
      <c r="K58" s="133"/>
      <c r="L58" s="39" t="e">
        <f t="shared" si="5"/>
        <v>#DIV/0!</v>
      </c>
      <c r="M58" s="6" t="e">
        <f t="shared" si="6"/>
        <v>#DIV/0!</v>
      </c>
      <c r="N58" s="39" t="e">
        <f t="shared" si="7"/>
        <v>#DIV/0!</v>
      </c>
      <c r="O58" s="42" t="e">
        <f t="shared" si="8"/>
        <v>#DIV/0!</v>
      </c>
    </row>
    <row r="59" spans="1:15" x14ac:dyDescent="0.3">
      <c r="A59" s="12">
        <v>270</v>
      </c>
      <c r="B59" s="14">
        <f>'RTD Resistance @ Temperature'!Q50</f>
        <v>0</v>
      </c>
      <c r="C59" s="10">
        <f t="shared" si="0"/>
        <v>5.0000000000000001E-4</v>
      </c>
      <c r="D59" s="10">
        <f t="shared" si="1"/>
        <v>0.5</v>
      </c>
      <c r="E59" s="10">
        <f t="shared" si="2"/>
        <v>0</v>
      </c>
      <c r="F59" s="10">
        <f t="shared" si="3"/>
        <v>0</v>
      </c>
      <c r="G59" s="10">
        <f t="shared" si="4"/>
        <v>0</v>
      </c>
      <c r="H59" s="133">
        <f t="shared" si="9"/>
        <v>0</v>
      </c>
      <c r="I59" s="133"/>
      <c r="J59" s="133">
        <f t="shared" si="10"/>
        <v>0</v>
      </c>
      <c r="K59" s="133"/>
      <c r="L59" s="39" t="e">
        <f t="shared" si="5"/>
        <v>#DIV/0!</v>
      </c>
      <c r="M59" s="6" t="e">
        <f t="shared" si="6"/>
        <v>#DIV/0!</v>
      </c>
      <c r="N59" s="39" t="e">
        <f t="shared" si="7"/>
        <v>#DIV/0!</v>
      </c>
      <c r="O59" s="42" t="e">
        <f t="shared" si="8"/>
        <v>#DIV/0!</v>
      </c>
    </row>
    <row r="60" spans="1:15" x14ac:dyDescent="0.3">
      <c r="A60" s="12">
        <v>280</v>
      </c>
      <c r="B60" s="14">
        <f>'RTD Resistance @ Temperature'!Q51</f>
        <v>0</v>
      </c>
      <c r="C60" s="10">
        <f t="shared" si="0"/>
        <v>5.0000000000000001E-4</v>
      </c>
      <c r="D60" s="10">
        <f t="shared" si="1"/>
        <v>0.5</v>
      </c>
      <c r="E60" s="10">
        <f t="shared" si="2"/>
        <v>0</v>
      </c>
      <c r="F60" s="10">
        <f t="shared" si="3"/>
        <v>0</v>
      </c>
      <c r="G60" s="10">
        <f t="shared" si="4"/>
        <v>0</v>
      </c>
      <c r="H60" s="133">
        <f t="shared" si="9"/>
        <v>0</v>
      </c>
      <c r="I60" s="133"/>
      <c r="J60" s="133">
        <f t="shared" si="10"/>
        <v>0</v>
      </c>
      <c r="K60" s="133"/>
      <c r="L60" s="39" t="e">
        <f t="shared" si="5"/>
        <v>#DIV/0!</v>
      </c>
      <c r="M60" s="6" t="e">
        <f t="shared" si="6"/>
        <v>#DIV/0!</v>
      </c>
      <c r="N60" s="39" t="e">
        <f t="shared" si="7"/>
        <v>#DIV/0!</v>
      </c>
      <c r="O60" s="42" t="e">
        <f t="shared" si="8"/>
        <v>#DIV/0!</v>
      </c>
    </row>
    <row r="61" spans="1:15" x14ac:dyDescent="0.3">
      <c r="A61" s="12">
        <v>290</v>
      </c>
      <c r="B61" s="14">
        <f>'RTD Resistance @ Temperature'!Q52</f>
        <v>0</v>
      </c>
      <c r="C61" s="10">
        <f t="shared" si="0"/>
        <v>5.0000000000000001E-4</v>
      </c>
      <c r="D61" s="10">
        <f t="shared" si="1"/>
        <v>0.5</v>
      </c>
      <c r="E61" s="10">
        <f t="shared" si="2"/>
        <v>0</v>
      </c>
      <c r="F61" s="10">
        <f t="shared" si="3"/>
        <v>0</v>
      </c>
      <c r="G61" s="10">
        <f t="shared" si="4"/>
        <v>0</v>
      </c>
      <c r="H61" s="133">
        <f t="shared" si="9"/>
        <v>0</v>
      </c>
      <c r="I61" s="133"/>
      <c r="J61" s="133">
        <f t="shared" si="10"/>
        <v>0</v>
      </c>
      <c r="K61" s="133"/>
      <c r="L61" s="39" t="e">
        <f t="shared" si="5"/>
        <v>#DIV/0!</v>
      </c>
      <c r="M61" s="6" t="e">
        <f t="shared" si="6"/>
        <v>#DIV/0!</v>
      </c>
      <c r="N61" s="39" t="e">
        <f t="shared" si="7"/>
        <v>#DIV/0!</v>
      </c>
      <c r="O61" s="42" t="e">
        <f t="shared" si="8"/>
        <v>#DIV/0!</v>
      </c>
    </row>
    <row r="62" spans="1:15" x14ac:dyDescent="0.3">
      <c r="A62" s="12">
        <v>300</v>
      </c>
      <c r="B62" s="14">
        <f>'RTD Resistance @ Temperature'!Q53</f>
        <v>0</v>
      </c>
      <c r="C62" s="10">
        <f t="shared" si="0"/>
        <v>5.0000000000000001E-4</v>
      </c>
      <c r="D62" s="10">
        <f t="shared" si="1"/>
        <v>0.5</v>
      </c>
      <c r="E62" s="10">
        <f t="shared" si="2"/>
        <v>0</v>
      </c>
      <c r="F62" s="10">
        <f t="shared" si="3"/>
        <v>0</v>
      </c>
      <c r="G62" s="10">
        <f t="shared" si="4"/>
        <v>0</v>
      </c>
      <c r="H62" s="133">
        <f t="shared" si="9"/>
        <v>0</v>
      </c>
      <c r="I62" s="133"/>
      <c r="J62" s="133">
        <f t="shared" si="10"/>
        <v>0</v>
      </c>
      <c r="K62" s="133"/>
      <c r="L62" s="39" t="e">
        <f t="shared" si="5"/>
        <v>#DIV/0!</v>
      </c>
      <c r="M62" s="6" t="e">
        <f t="shared" si="6"/>
        <v>#DIV/0!</v>
      </c>
      <c r="N62" s="39" t="e">
        <f t="shared" si="7"/>
        <v>#DIV/0!</v>
      </c>
      <c r="O62" s="42" t="e">
        <f t="shared" si="8"/>
        <v>#DIV/0!</v>
      </c>
    </row>
    <row r="63" spans="1:15" x14ac:dyDescent="0.3">
      <c r="A63" s="12">
        <v>310</v>
      </c>
      <c r="B63" s="14">
        <f>'RTD Resistance @ Temperature'!Q54</f>
        <v>0</v>
      </c>
      <c r="C63" s="10">
        <f t="shared" si="0"/>
        <v>5.0000000000000001E-4</v>
      </c>
      <c r="D63" s="10">
        <f t="shared" si="1"/>
        <v>0.5</v>
      </c>
      <c r="E63" s="10">
        <f t="shared" si="2"/>
        <v>0</v>
      </c>
      <c r="F63" s="10">
        <f t="shared" si="3"/>
        <v>0</v>
      </c>
      <c r="G63" s="10">
        <f t="shared" si="4"/>
        <v>0</v>
      </c>
      <c r="H63" s="133">
        <f t="shared" si="9"/>
        <v>0</v>
      </c>
      <c r="I63" s="133"/>
      <c r="J63" s="133">
        <f t="shared" si="10"/>
        <v>0</v>
      </c>
      <c r="K63" s="133"/>
      <c r="L63" s="39" t="e">
        <f t="shared" si="5"/>
        <v>#DIV/0!</v>
      </c>
      <c r="M63" s="6" t="e">
        <f t="shared" si="6"/>
        <v>#DIV/0!</v>
      </c>
      <c r="N63" s="39" t="e">
        <f t="shared" si="7"/>
        <v>#DIV/0!</v>
      </c>
      <c r="O63" s="42" t="e">
        <f t="shared" si="8"/>
        <v>#DIV/0!</v>
      </c>
    </row>
    <row r="64" spans="1:15" ht="15" thickBot="1" x14ac:dyDescent="0.35">
      <c r="A64" s="3">
        <v>320</v>
      </c>
      <c r="B64" s="15">
        <f>'RTD Resistance @ Temperature'!Q55</f>
        <v>0</v>
      </c>
      <c r="C64" s="11">
        <f t="shared" si="0"/>
        <v>5.0000000000000001E-4</v>
      </c>
      <c r="D64" s="11">
        <f t="shared" si="1"/>
        <v>0.5</v>
      </c>
      <c r="E64" s="11">
        <f t="shared" si="2"/>
        <v>0</v>
      </c>
      <c r="F64" s="11">
        <f>E64-E63</f>
        <v>0</v>
      </c>
      <c r="G64" s="11">
        <f t="shared" si="4"/>
        <v>0</v>
      </c>
      <c r="H64" s="134">
        <f>F64/(A64-A63)</f>
        <v>0</v>
      </c>
      <c r="I64" s="134"/>
      <c r="J64" s="134">
        <f>(E64-E63) / (A64-A63)</f>
        <v>0</v>
      </c>
      <c r="K64" s="134"/>
      <c r="L64" s="43" t="e">
        <f t="shared" si="5"/>
        <v>#DIV/0!</v>
      </c>
      <c r="M64" s="7" t="e">
        <f t="shared" si="6"/>
        <v>#DIV/0!</v>
      </c>
      <c r="N64" s="43" t="e">
        <f t="shared" si="7"/>
        <v>#DIV/0!</v>
      </c>
      <c r="O64" s="44" t="e">
        <f t="shared" si="8"/>
        <v>#DIV/0!</v>
      </c>
    </row>
  </sheetData>
  <sheetProtection algorithmName="SHA-512" hashValue="Eys0YvYV+nRqaxMY7pO5v1mTftmrezpQ+ZEp0mZGfoKmw/FUrreAaGve9baxaDZ3R7fWXHk57kt/21YZT80OvA==" saltValue="IBpjg7wKiLgabrLeIGbjpA==" spinCount="100000" sheet="1" objects="1" scenarios="1"/>
  <mergeCells count="124"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177E-3B52-46BA-9D1A-27086FE0840C}">
  <sheetPr codeName="Sheet5"/>
  <dimension ref="A1:E7"/>
  <sheetViews>
    <sheetView workbookViewId="0">
      <selection activeCell="B2" sqref="B2"/>
    </sheetView>
  </sheetViews>
  <sheetFormatPr defaultRowHeight="14.4" x14ac:dyDescent="0.3"/>
  <sheetData>
    <row r="1" spans="1:5" x14ac:dyDescent="0.3">
      <c r="A1" s="143" t="s">
        <v>15</v>
      </c>
      <c r="B1" s="143"/>
      <c r="D1" s="143" t="s">
        <v>71</v>
      </c>
      <c r="E1" s="146"/>
    </row>
    <row r="2" spans="1:5" x14ac:dyDescent="0.3">
      <c r="A2">
        <v>4700</v>
      </c>
      <c r="B2" s="5" t="s">
        <v>19</v>
      </c>
      <c r="D2">
        <v>100</v>
      </c>
      <c r="E2" s="5" t="s">
        <v>19</v>
      </c>
    </row>
    <row r="3" spans="1:5" x14ac:dyDescent="0.3">
      <c r="A3">
        <v>5000</v>
      </c>
      <c r="B3" s="5" t="s">
        <v>19</v>
      </c>
      <c r="D3">
        <v>500</v>
      </c>
      <c r="E3" s="5" t="s">
        <v>19</v>
      </c>
    </row>
    <row r="4" spans="1:5" x14ac:dyDescent="0.3">
      <c r="A4">
        <v>7500</v>
      </c>
      <c r="B4" s="5" t="s">
        <v>19</v>
      </c>
      <c r="D4">
        <v>1000</v>
      </c>
      <c r="E4" s="5" t="s">
        <v>19</v>
      </c>
    </row>
    <row r="5" spans="1:5" x14ac:dyDescent="0.3">
      <c r="A5">
        <v>10000</v>
      </c>
      <c r="B5" s="5" t="s">
        <v>19</v>
      </c>
      <c r="D5" t="s">
        <v>76</v>
      </c>
      <c r="E5" s="5" t="s">
        <v>19</v>
      </c>
    </row>
    <row r="6" spans="1:5" x14ac:dyDescent="0.3">
      <c r="A6">
        <v>15000</v>
      </c>
      <c r="B6" s="5" t="s">
        <v>19</v>
      </c>
    </row>
    <row r="7" spans="1:5" x14ac:dyDescent="0.3">
      <c r="A7">
        <v>20000</v>
      </c>
      <c r="B7" s="5" t="s">
        <v>19</v>
      </c>
    </row>
  </sheetData>
  <sheetProtection algorithmName="SHA-512" hashValue="pX+CxXWf2WVbIYaEdufdQ6NKvKR3IMxfez2hAfTDv/2ldeczEYm9PWuEcKK1scNB48j+vi9hqYmE+q1WNTzM4A==" saltValue="I9f83itbofV6XkHlIw02RQ==" spinCount="100000" sheet="1" objects="1" scenario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RTD Data</vt:lpstr>
      <vt:lpstr>RTD Resistance @ Temperature</vt:lpstr>
      <vt:lpstr>PT100 Tables</vt:lpstr>
      <vt:lpstr>PT500 Tables</vt:lpstr>
      <vt:lpstr>PT1000 Tables</vt:lpstr>
      <vt:lpstr>PT-CUSTOM Tables</vt:lpstr>
      <vt:lpstr>STD 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Muckenhirn</dc:creator>
  <cp:lastModifiedBy>Muckenhirn, Ariel</cp:lastModifiedBy>
  <dcterms:created xsi:type="dcterms:W3CDTF">2018-12-03T22:43:22Z</dcterms:created>
  <dcterms:modified xsi:type="dcterms:W3CDTF">2025-01-07T16:26:29Z</dcterms:modified>
</cp:coreProperties>
</file>